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yuri\Google Drive\Gyurcika\Curling\Akadémia\"/>
    </mc:Choice>
  </mc:AlternateContent>
  <bookViews>
    <workbookView xWindow="0" yWindow="0" windowWidth="19200" windowHeight="7050" activeTab="1"/>
  </bookViews>
  <sheets>
    <sheet name="Célok" sheetId="8" r:id="rId1"/>
    <sheet name="Összesítés" sheetId="1" r:id="rId2"/>
    <sheet name="1. év" sheetId="2" r:id="rId3"/>
    <sheet name="2. év" sheetId="3" r:id="rId4"/>
    <sheet name="3. év" sheetId="4" r:id="rId5"/>
    <sheet name="4. év" sheetId="5" r:id="rId6"/>
    <sheet name="5. év" sheetId="6" r:id="rId7"/>
    <sheet name="6. év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9" i="2" l="1"/>
  <c r="O18" i="7"/>
  <c r="O18" i="6"/>
  <c r="O18" i="5"/>
  <c r="O18" i="2"/>
  <c r="O18" i="3"/>
  <c r="O18" i="4"/>
  <c r="I12" i="4"/>
  <c r="I12" i="3"/>
  <c r="I32" i="2"/>
  <c r="I11" i="3"/>
  <c r="I9" i="3"/>
  <c r="I8" i="3"/>
  <c r="N17" i="3"/>
  <c r="O17" i="3" s="1"/>
  <c r="O17" i="2"/>
  <c r="A14" i="2"/>
  <c r="A13" i="2"/>
  <c r="A12" i="2"/>
  <c r="A11" i="2"/>
  <c r="A10" i="2"/>
  <c r="A9" i="2"/>
  <c r="A8" i="2"/>
  <c r="A7" i="2"/>
  <c r="A6" i="2"/>
  <c r="A5" i="2"/>
  <c r="D4" i="2"/>
  <c r="A4" i="2"/>
  <c r="B2" i="2"/>
  <c r="A2" i="2"/>
  <c r="A14" i="3"/>
  <c r="A13" i="3"/>
  <c r="A12" i="3"/>
  <c r="A11" i="3"/>
  <c r="A10" i="3"/>
  <c r="A9" i="3"/>
  <c r="A8" i="3"/>
  <c r="A7" i="3"/>
  <c r="A6" i="3"/>
  <c r="A5" i="3"/>
  <c r="A4" i="3"/>
  <c r="B2" i="3"/>
  <c r="A2" i="3"/>
  <c r="A14" i="4"/>
  <c r="A13" i="4"/>
  <c r="A12" i="4"/>
  <c r="A11" i="4"/>
  <c r="A10" i="4"/>
  <c r="A9" i="4"/>
  <c r="A8" i="4"/>
  <c r="A7" i="4"/>
  <c r="A6" i="4"/>
  <c r="A5" i="4"/>
  <c r="A4" i="4"/>
  <c r="B2" i="4"/>
  <c r="A2" i="4"/>
  <c r="A14" i="5"/>
  <c r="A13" i="5"/>
  <c r="A12" i="5"/>
  <c r="A11" i="5"/>
  <c r="A10" i="5"/>
  <c r="A9" i="5"/>
  <c r="A8" i="5"/>
  <c r="A7" i="5"/>
  <c r="A6" i="5"/>
  <c r="A5" i="5"/>
  <c r="A4" i="5"/>
  <c r="B2" i="5"/>
  <c r="A2" i="5"/>
  <c r="A14" i="6"/>
  <c r="A13" i="6"/>
  <c r="A12" i="6"/>
  <c r="A11" i="6"/>
  <c r="A10" i="6"/>
  <c r="A9" i="6"/>
  <c r="A8" i="6"/>
  <c r="A7" i="6"/>
  <c r="A6" i="6"/>
  <c r="A5" i="6"/>
  <c r="A4" i="6"/>
  <c r="B2" i="6"/>
  <c r="A2" i="6"/>
  <c r="A12" i="7"/>
  <c r="A11" i="7"/>
  <c r="A10" i="7"/>
  <c r="A9" i="7"/>
  <c r="A8" i="7"/>
  <c r="A7" i="7"/>
  <c r="A6" i="7"/>
  <c r="A5" i="7"/>
  <c r="A4" i="7"/>
  <c r="I9" i="7"/>
  <c r="I8" i="7"/>
  <c r="I6" i="7"/>
  <c r="I9" i="6"/>
  <c r="I8" i="6"/>
  <c r="I6" i="6"/>
  <c r="I9" i="5"/>
  <c r="I8" i="5"/>
  <c r="I6" i="5"/>
  <c r="I9" i="4"/>
  <c r="I8" i="4"/>
  <c r="I6" i="4"/>
  <c r="O22" i="7"/>
  <c r="O22" i="6"/>
  <c r="O22" i="5"/>
  <c r="O22" i="4"/>
  <c r="I31" i="2"/>
  <c r="I9" i="2"/>
  <c r="O21" i="3"/>
  <c r="I28" i="3" s="1"/>
  <c r="I29" i="3" s="1"/>
  <c r="I6" i="3"/>
  <c r="D4" i="3" l="1"/>
  <c r="I30" i="3"/>
  <c r="I31" i="3" s="1"/>
  <c r="O21" i="4"/>
  <c r="N17" i="4" s="1"/>
  <c r="O17" i="4" s="1"/>
  <c r="I30" i="4" l="1"/>
  <c r="I31" i="4" s="1"/>
  <c r="O21" i="5"/>
  <c r="N17" i="5" s="1"/>
  <c r="O17" i="5" s="1"/>
  <c r="I11" i="4"/>
  <c r="D4" i="4" s="1"/>
  <c r="I28" i="4"/>
  <c r="I29" i="4" s="1"/>
  <c r="I28" i="5" l="1"/>
  <c r="I29" i="5" s="1"/>
  <c r="I11" i="5"/>
  <c r="I12" i="5" s="1"/>
  <c r="D4" i="5" s="1"/>
  <c r="I30" i="5"/>
  <c r="I31" i="5" s="1"/>
  <c r="O21" i="6"/>
  <c r="N17" i="6" s="1"/>
  <c r="O17" i="6" s="1"/>
  <c r="I30" i="6" l="1"/>
  <c r="I31" i="6" s="1"/>
  <c r="I11" i="6"/>
  <c r="I12" i="6" s="1"/>
  <c r="D4" i="6" s="1"/>
  <c r="I28" i="6"/>
  <c r="I29" i="6" s="1"/>
  <c r="O21" i="7"/>
  <c r="N17" i="7" s="1"/>
  <c r="O17" i="7" s="1"/>
  <c r="I30" i="7" l="1"/>
  <c r="I31" i="7" s="1"/>
  <c r="I28" i="7"/>
  <c r="I29" i="7" s="1"/>
  <c r="I11" i="7"/>
  <c r="I12" i="7" s="1"/>
  <c r="D4" i="7" s="1"/>
  <c r="I12" i="2" l="1"/>
  <c r="I8" i="2"/>
  <c r="N15" i="3"/>
  <c r="O15" i="3" s="1"/>
  <c r="N16" i="3"/>
  <c r="O16" i="3" s="1"/>
  <c r="O16" i="2"/>
  <c r="B18" i="1"/>
  <c r="B21" i="1"/>
  <c r="B23" i="1"/>
  <c r="B12" i="1"/>
  <c r="N24" i="7"/>
  <c r="M24" i="7"/>
  <c r="A14" i="7"/>
  <c r="A13" i="7"/>
  <c r="B2" i="7"/>
  <c r="A2" i="7"/>
  <c r="N24" i="6"/>
  <c r="M24" i="6"/>
  <c r="N24" i="5"/>
  <c r="M24" i="5"/>
  <c r="N24" i="4"/>
  <c r="M24" i="4"/>
  <c r="N24" i="3"/>
  <c r="M24" i="3"/>
  <c r="N5" i="3"/>
  <c r="O5" i="3" s="1"/>
  <c r="B14" i="1"/>
  <c r="I6" i="2"/>
  <c r="I20" i="2"/>
  <c r="O15" i="2"/>
  <c r="B22" i="1"/>
  <c r="B20" i="1"/>
  <c r="B19" i="1"/>
  <c r="B17" i="1"/>
  <c r="B16" i="1"/>
  <c r="B15" i="1"/>
  <c r="B13" i="1"/>
  <c r="N24" i="2"/>
  <c r="I70" i="2"/>
  <c r="I71" i="2"/>
  <c r="I69" i="2"/>
  <c r="I68" i="2"/>
  <c r="I67" i="2"/>
  <c r="I66" i="2"/>
  <c r="I60" i="2"/>
  <c r="I59" i="2"/>
  <c r="I58" i="2"/>
  <c r="I57" i="2"/>
  <c r="I56" i="2"/>
  <c r="M24" i="2"/>
  <c r="N14" i="2"/>
  <c r="N14" i="4" s="1"/>
  <c r="N13" i="2"/>
  <c r="N13" i="3" s="1"/>
  <c r="O13" i="3" s="1"/>
  <c r="N9" i="2"/>
  <c r="N9" i="3" s="1"/>
  <c r="O9" i="3" s="1"/>
  <c r="N8" i="2"/>
  <c r="N8" i="3" s="1"/>
  <c r="O8" i="3" s="1"/>
  <c r="N7" i="2"/>
  <c r="N7" i="3" s="1"/>
  <c r="O7" i="3" s="1"/>
  <c r="N6" i="2"/>
  <c r="N6" i="3" s="1"/>
  <c r="O6" i="3" s="1"/>
  <c r="N5" i="2"/>
  <c r="I49" i="2"/>
  <c r="I48" i="2"/>
  <c r="I47" i="2"/>
  <c r="I46" i="2"/>
  <c r="I36" i="2"/>
  <c r="I40" i="2"/>
  <c r="I35" i="2"/>
  <c r="D7" i="2"/>
  <c r="I15" i="2"/>
  <c r="I57" i="6" l="1"/>
  <c r="I57" i="3"/>
  <c r="I57" i="4"/>
  <c r="I57" i="7"/>
  <c r="I57" i="5"/>
  <c r="I58" i="6"/>
  <c r="I58" i="4"/>
  <c r="I58" i="7"/>
  <c r="I58" i="3"/>
  <c r="I58" i="5"/>
  <c r="I71" i="6"/>
  <c r="I71" i="3"/>
  <c r="I71" i="4"/>
  <c r="I71" i="7"/>
  <c r="I71" i="5"/>
  <c r="I43" i="2"/>
  <c r="D9" i="2" s="1"/>
  <c r="I40" i="3"/>
  <c r="I43" i="3" s="1"/>
  <c r="D9" i="3" s="1"/>
  <c r="I40" i="7"/>
  <c r="I43" i="7" s="1"/>
  <c r="D9" i="7" s="1"/>
  <c r="I40" i="4"/>
  <c r="I43" i="4" s="1"/>
  <c r="D9" i="4" s="1"/>
  <c r="I40" i="5"/>
  <c r="I43" i="5" s="1"/>
  <c r="D9" i="5" s="1"/>
  <c r="I40" i="6"/>
  <c r="I43" i="6" s="1"/>
  <c r="D9" i="6" s="1"/>
  <c r="I70" i="6"/>
  <c r="I70" i="4"/>
  <c r="I70" i="7"/>
  <c r="I70" i="5"/>
  <c r="I70" i="3"/>
  <c r="I36" i="6"/>
  <c r="I36" i="3"/>
  <c r="I36" i="4"/>
  <c r="I36" i="7"/>
  <c r="I36" i="5"/>
  <c r="I59" i="4"/>
  <c r="I59" i="7"/>
  <c r="I59" i="6"/>
  <c r="I59" i="5"/>
  <c r="I59" i="3"/>
  <c r="N14" i="3"/>
  <c r="O14" i="3" s="1"/>
  <c r="D14" i="3" s="1"/>
  <c r="I22" i="2"/>
  <c r="D6" i="2" s="1"/>
  <c r="I20" i="4"/>
  <c r="I22" i="4" s="1"/>
  <c r="D6" i="4" s="1"/>
  <c r="I20" i="7"/>
  <c r="I22" i="7" s="1"/>
  <c r="D6" i="7" s="1"/>
  <c r="I20" i="5"/>
  <c r="I22" i="5" s="1"/>
  <c r="D6" i="5" s="1"/>
  <c r="I20" i="3"/>
  <c r="I22" i="3" s="1"/>
  <c r="D6" i="3" s="1"/>
  <c r="I20" i="6"/>
  <c r="I22" i="6" s="1"/>
  <c r="D6" i="6" s="1"/>
  <c r="I46" i="4"/>
  <c r="I46" i="7"/>
  <c r="I46" i="5"/>
  <c r="I46" i="3"/>
  <c r="I46" i="6"/>
  <c r="I60" i="4"/>
  <c r="I60" i="6"/>
  <c r="I60" i="7"/>
  <c r="I60" i="5"/>
  <c r="I60" i="3"/>
  <c r="I47" i="7"/>
  <c r="I47" i="3"/>
  <c r="I47" i="5"/>
  <c r="I47" i="4"/>
  <c r="I47" i="6"/>
  <c r="I66" i="7"/>
  <c r="I66" i="5"/>
  <c r="I66" i="3"/>
  <c r="I66" i="6"/>
  <c r="I66" i="4"/>
  <c r="I67" i="5"/>
  <c r="I67" i="4"/>
  <c r="I67" i="3"/>
  <c r="I67" i="7"/>
  <c r="I67" i="6"/>
  <c r="I49" i="5"/>
  <c r="I49" i="6"/>
  <c r="I49" i="3"/>
  <c r="I49" i="4"/>
  <c r="I49" i="7"/>
  <c r="I68" i="3"/>
  <c r="I68" i="5"/>
  <c r="I68" i="6"/>
  <c r="I68" i="7"/>
  <c r="I68" i="4"/>
  <c r="I35" i="6"/>
  <c r="I35" i="5"/>
  <c r="I35" i="3"/>
  <c r="I35" i="4"/>
  <c r="I35" i="7"/>
  <c r="I48" i="5"/>
  <c r="I48" i="7"/>
  <c r="I48" i="3"/>
  <c r="I48" i="6"/>
  <c r="I48" i="4"/>
  <c r="I17" i="2"/>
  <c r="D5" i="2" s="1"/>
  <c r="I15" i="3"/>
  <c r="I17" i="3" s="1"/>
  <c r="D5" i="3" s="1"/>
  <c r="I15" i="4"/>
  <c r="I17" i="4" s="1"/>
  <c r="D5" i="4" s="1"/>
  <c r="I15" i="7"/>
  <c r="I17" i="7" s="1"/>
  <c r="D5" i="7" s="1"/>
  <c r="I15" i="5"/>
  <c r="I17" i="5" s="1"/>
  <c r="D5" i="5" s="1"/>
  <c r="I15" i="6"/>
  <c r="I17" i="6" s="1"/>
  <c r="D5" i="6" s="1"/>
  <c r="N4" i="2"/>
  <c r="I25" i="4"/>
  <c r="I25" i="7"/>
  <c r="I25" i="5"/>
  <c r="I25" i="6"/>
  <c r="I25" i="3"/>
  <c r="I56" i="3"/>
  <c r="I62" i="3" s="1"/>
  <c r="I56" i="6"/>
  <c r="I56" i="4"/>
  <c r="I56" i="7"/>
  <c r="I56" i="5"/>
  <c r="I69" i="3"/>
  <c r="I69" i="6"/>
  <c r="I69" i="5"/>
  <c r="I69" i="4"/>
  <c r="I69" i="7"/>
  <c r="N6" i="4"/>
  <c r="O6" i="4" s="1"/>
  <c r="N9" i="4"/>
  <c r="O9" i="4" s="1"/>
  <c r="N8" i="4"/>
  <c r="O8" i="4" s="1"/>
  <c r="N7" i="4"/>
  <c r="O7" i="4" s="1"/>
  <c r="N16" i="4"/>
  <c r="O16" i="4" s="1"/>
  <c r="N13" i="4"/>
  <c r="O13" i="4" s="1"/>
  <c r="N15" i="4"/>
  <c r="O15" i="4" s="1"/>
  <c r="N5" i="4"/>
  <c r="O5" i="4" s="1"/>
  <c r="O14" i="4"/>
  <c r="I73" i="2"/>
  <c r="D12" i="2" s="1"/>
  <c r="I62" i="2"/>
  <c r="D11" i="2" s="1"/>
  <c r="I52" i="2"/>
  <c r="D10" i="2" s="1"/>
  <c r="O14" i="2"/>
  <c r="O13" i="2"/>
  <c r="D7" i="4" l="1"/>
  <c r="I32" i="4"/>
  <c r="N4" i="4"/>
  <c r="O4" i="4" s="1"/>
  <c r="O10" i="4" s="1"/>
  <c r="N4" i="3"/>
  <c r="O4" i="3" s="1"/>
  <c r="O10" i="3" s="1"/>
  <c r="D13" i="3" s="1"/>
  <c r="I32" i="3"/>
  <c r="D7" i="3" s="1"/>
  <c r="I32" i="6"/>
  <c r="D7" i="6" s="1"/>
  <c r="I32" i="5"/>
  <c r="D7" i="5" s="1"/>
  <c r="I32" i="7"/>
  <c r="D7" i="7" s="1"/>
  <c r="D11" i="3"/>
  <c r="I62" i="4"/>
  <c r="D11" i="4" s="1"/>
  <c r="I73" i="4"/>
  <c r="D12" i="4" s="1"/>
  <c r="I37" i="5"/>
  <c r="D8" i="5" s="1"/>
  <c r="I73" i="6"/>
  <c r="D12" i="6" s="1"/>
  <c r="I37" i="7"/>
  <c r="D8" i="7" s="1"/>
  <c r="I62" i="6"/>
  <c r="I62" i="5"/>
  <c r="I62" i="7"/>
  <c r="I52" i="6"/>
  <c r="D10" i="6" s="1"/>
  <c r="I52" i="3"/>
  <c r="D10" i="3" s="1"/>
  <c r="I52" i="7"/>
  <c r="D10" i="7" s="1"/>
  <c r="I52" i="5"/>
  <c r="D10" i="5" s="1"/>
  <c r="I73" i="3"/>
  <c r="D12" i="3" s="1"/>
  <c r="I37" i="4"/>
  <c r="D8" i="4" s="1"/>
  <c r="I73" i="5"/>
  <c r="D12" i="5" s="1"/>
  <c r="I52" i="4"/>
  <c r="D10" i="4" s="1"/>
  <c r="I37" i="3"/>
  <c r="D8" i="3" s="1"/>
  <c r="I73" i="7"/>
  <c r="D12" i="7" s="1"/>
  <c r="I37" i="6"/>
  <c r="D8" i="6" s="1"/>
  <c r="N7" i="5"/>
  <c r="O7" i="5" s="1"/>
  <c r="N8" i="5"/>
  <c r="O8" i="5" s="1"/>
  <c r="N6" i="5"/>
  <c r="O6" i="5" s="1"/>
  <c r="N15" i="5"/>
  <c r="O15" i="5" s="1"/>
  <c r="N9" i="5"/>
  <c r="O9" i="5" s="1"/>
  <c r="N14" i="5"/>
  <c r="O14" i="5" s="1"/>
  <c r="N4" i="5"/>
  <c r="O4" i="5" s="1"/>
  <c r="N16" i="5"/>
  <c r="O16" i="5" s="1"/>
  <c r="N13" i="5"/>
  <c r="O13" i="5" s="1"/>
  <c r="D14" i="2"/>
  <c r="N5" i="5"/>
  <c r="O5" i="5" s="1"/>
  <c r="O9" i="2"/>
  <c r="O4" i="2"/>
  <c r="O5" i="2"/>
  <c r="O6" i="2"/>
  <c r="O7" i="2"/>
  <c r="O8" i="2"/>
  <c r="O24" i="3" l="1"/>
  <c r="D11" i="7"/>
  <c r="O24" i="7"/>
  <c r="D11" i="6"/>
  <c r="O24" i="6"/>
  <c r="D11" i="5"/>
  <c r="O24" i="5"/>
  <c r="D13" i="4"/>
  <c r="D15" i="4" s="1"/>
  <c r="O24" i="4"/>
  <c r="D14" i="4"/>
  <c r="D15" i="3"/>
  <c r="N16" i="6"/>
  <c r="O16" i="6" s="1"/>
  <c r="N4" i="6"/>
  <c r="N15" i="6"/>
  <c r="O15" i="6" s="1"/>
  <c r="N13" i="6"/>
  <c r="O13" i="6" s="1"/>
  <c r="N14" i="6"/>
  <c r="O14" i="6" s="1"/>
  <c r="N7" i="6"/>
  <c r="O7" i="6" s="1"/>
  <c r="N8" i="6"/>
  <c r="O8" i="6" s="1"/>
  <c r="N9" i="6"/>
  <c r="O9" i="6" s="1"/>
  <c r="N6" i="6"/>
  <c r="O6" i="6" s="1"/>
  <c r="D14" i="5"/>
  <c r="N5" i="6"/>
  <c r="O5" i="6" s="1"/>
  <c r="O10" i="5"/>
  <c r="D13" i="5" s="1"/>
  <c r="O10" i="2"/>
  <c r="I37" i="2"/>
  <c r="D8" i="2" s="1"/>
  <c r="D13" i="2" l="1"/>
  <c r="D15" i="2" s="1"/>
  <c r="O24" i="2"/>
  <c r="D15" i="5"/>
  <c r="D6" i="1" s="1"/>
  <c r="N13" i="7"/>
  <c r="O13" i="7" s="1"/>
  <c r="N7" i="7"/>
  <c r="O7" i="7" s="1"/>
  <c r="E17" i="1"/>
  <c r="N8" i="7"/>
  <c r="O8" i="7" s="1"/>
  <c r="E14" i="1"/>
  <c r="N9" i="7"/>
  <c r="O9" i="7" s="1"/>
  <c r="N6" i="7"/>
  <c r="O6" i="7" s="1"/>
  <c r="N14" i="7"/>
  <c r="O14" i="7" s="1"/>
  <c r="N4" i="7"/>
  <c r="N15" i="7"/>
  <c r="O15" i="7" s="1"/>
  <c r="N16" i="7"/>
  <c r="O16" i="7" s="1"/>
  <c r="D14" i="6"/>
  <c r="D5" i="1"/>
  <c r="O4" i="6"/>
  <c r="O10" i="6" s="1"/>
  <c r="D13" i="6" s="1"/>
  <c r="N5" i="7"/>
  <c r="O5" i="7" s="1"/>
  <c r="E13" i="1"/>
  <c r="D15" i="6" l="1"/>
  <c r="D7" i="1" s="1"/>
  <c r="E16" i="1"/>
  <c r="E19" i="1"/>
  <c r="D14" i="7"/>
  <c r="E22" i="1" s="1"/>
  <c r="E20" i="1"/>
  <c r="O4" i="7"/>
  <c r="O10" i="7" s="1"/>
  <c r="D13" i="7" s="1"/>
  <c r="D15" i="7" l="1"/>
  <c r="D8" i="1" s="1"/>
  <c r="E21" i="1"/>
  <c r="E15" i="1"/>
  <c r="E12" i="1" l="1"/>
  <c r="D3" i="1" l="1"/>
  <c r="E18" i="1" l="1"/>
  <c r="D4" i="1" l="1"/>
  <c r="D9" i="1" s="1"/>
  <c r="E23" i="1"/>
  <c r="I2" i="1" l="1"/>
  <c r="I4" i="1" s="1"/>
</calcChain>
</file>

<file path=xl/sharedStrings.xml><?xml version="1.0" encoding="utf-8"?>
<sst xmlns="http://schemas.openxmlformats.org/spreadsheetml/2006/main" count="552" uniqueCount="88">
  <si>
    <t>Edzések magyarországi pályán</t>
  </si>
  <si>
    <t>edzések időtartama, óra</t>
  </si>
  <si>
    <t>heti edzésidő, óra</t>
  </si>
  <si>
    <t>hetek száma/év</t>
  </si>
  <si>
    <t>Éves edzésdíj</t>
  </si>
  <si>
    <t>Autóbusz bérlés díja bruttó, ft/km</t>
  </si>
  <si>
    <t>km/edzés oda-vissza</t>
  </si>
  <si>
    <t>összes díj/szezon</t>
  </si>
  <si>
    <t>összes edzés edzői díja</t>
  </si>
  <si>
    <t>Nevezési díj</t>
  </si>
  <si>
    <t>Nevezett csapatok</t>
  </si>
  <si>
    <t>Curling edzők díja/óra</t>
  </si>
  <si>
    <t>Tornatanár</t>
  </si>
  <si>
    <t>Házi bajnokság</t>
  </si>
  <si>
    <t>Pályabérlet</t>
  </si>
  <si>
    <t>Szervezés</t>
  </si>
  <si>
    <t>Összesen</t>
  </si>
  <si>
    <t>curling szakoktató</t>
  </si>
  <si>
    <t>magyar topjátékos</t>
  </si>
  <si>
    <t>sportpszichológus</t>
  </si>
  <si>
    <t>erőnléti oktató</t>
  </si>
  <si>
    <t>WADA szakember</t>
  </si>
  <si>
    <t>dietetikus</t>
  </si>
  <si>
    <t>Elméleti oktatás</t>
  </si>
  <si>
    <t>Megnevezés</t>
  </si>
  <si>
    <t>óraszám/idény</t>
  </si>
  <si>
    <t>díjazás/óra</t>
  </si>
  <si>
    <t>összesen</t>
  </si>
  <si>
    <t>Erőnléti edzés szaktanácsadás, felügyelet</t>
  </si>
  <si>
    <t>Pszichológiai szaktanácsadás, felügyelet</t>
  </si>
  <si>
    <t>hazai Versenyek</t>
  </si>
  <si>
    <t>Versenyek száma</t>
  </si>
  <si>
    <t>Külföldi versenyek</t>
  </si>
  <si>
    <t>Összes hazai verseny</t>
  </si>
  <si>
    <t>Utazás</t>
  </si>
  <si>
    <t>Szállás, ellátás</t>
  </si>
  <si>
    <t>egyéb</t>
  </si>
  <si>
    <t>Összes külföldi verseny</t>
  </si>
  <si>
    <t>Kiegészítő adatok</t>
  </si>
  <si>
    <t>Áremelkedés/év</t>
  </si>
  <si>
    <t>Hazai edzőtábor</t>
  </si>
  <si>
    <t>Összes hazai edzőtábor</t>
  </si>
  <si>
    <t>Pályabérlet/nap</t>
  </si>
  <si>
    <t>Edzői díj/nap</t>
  </si>
  <si>
    <t>Transzferek/nap</t>
  </si>
  <si>
    <t>Étkezés/nap</t>
  </si>
  <si>
    <t>Egyéb/nap</t>
  </si>
  <si>
    <t>Tábor hossza, napok</t>
  </si>
  <si>
    <t>résztvevők száma</t>
  </si>
  <si>
    <t>Külföldi edzőtábor</t>
  </si>
  <si>
    <t>Versenyek száma/év</t>
  </si>
  <si>
    <t>Szállás/nap</t>
  </si>
  <si>
    <t>Összes költség</t>
  </si>
  <si>
    <t>év</t>
  </si>
  <si>
    <t>költségvetése</t>
  </si>
  <si>
    <t>Edzők, tornatanárok díjazása</t>
  </si>
  <si>
    <t>Összes külföldi edzőtábor</t>
  </si>
  <si>
    <t>Egyéb szakemberek</t>
  </si>
  <si>
    <t>Szervező</t>
  </si>
  <si>
    <t>Transzfer délelőtti edzésekre</t>
  </si>
  <si>
    <t>Transzfer délutáni edzésekre</t>
  </si>
  <si>
    <t>délelőtti edzések száma/hét</t>
  </si>
  <si>
    <t>délutáni edzések száma/hét</t>
  </si>
  <si>
    <t>bruttó éves díj, ft</t>
  </si>
  <si>
    <t>Összesítés évenként</t>
  </si>
  <si>
    <t>költség, ft</t>
  </si>
  <si>
    <t>Összesítés költséghelyenként</t>
  </si>
  <si>
    <t>Éves átlagos költség:</t>
  </si>
  <si>
    <t>Résztvevők száma</t>
  </si>
  <si>
    <t>Éves átlagos költség/fő</t>
  </si>
  <si>
    <t>Egyéb szakemberek és infrastruktúra</t>
  </si>
  <si>
    <t>Egyéb infrastruktúra (pl. edzőterem)</t>
  </si>
  <si>
    <t>díjazás/óra, bruttó</t>
  </si>
  <si>
    <t>Cél</t>
  </si>
  <si>
    <t>Stabil világbajnoki részvétel 2 felnőtt szakágban: 2030-ig legalább 3 világbajnokságon</t>
  </si>
  <si>
    <t>Olimpiai kvótaszerzés 2030-ban, de legkésőbb 2034-ben</t>
  </si>
  <si>
    <t>Akadémiai osztályok indítása 3 évente</t>
  </si>
  <si>
    <t>Stabil junior A VB részvétel 2025-től, legalább az első 5-be kerülni</t>
  </si>
  <si>
    <t>Edzők száma délelőtt</t>
  </si>
  <si>
    <t>Edzők száma délután</t>
  </si>
  <si>
    <t>Vezetőedző díjazása</t>
  </si>
  <si>
    <t>Évi edzésidő délelőtt</t>
  </si>
  <si>
    <t>Évi edzésidő délután</t>
  </si>
  <si>
    <t>pályadíj délután, bruttó/óra</t>
  </si>
  <si>
    <t>pályadíj délelőtt bruttó/óra</t>
  </si>
  <si>
    <t>Vezetőedző díjazása/hó, bruttó</t>
  </si>
  <si>
    <t>Tornatanár díjazása/hó, bruttó</t>
  </si>
  <si>
    <t>Felszerelés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</si>
</sst>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  <numFmt numFmtId="166" formatCode="#,##0.00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1" xfId="0" applyNumberFormat="1" applyBorder="1"/>
    <xf numFmtId="3" fontId="2" fillId="0" borderId="1" xfId="0" applyNumberFormat="1" applyFont="1" applyBorder="1"/>
    <xf numFmtId="0" fontId="0" fillId="0" borderId="1" xfId="0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3" fontId="3" fillId="0" borderId="1" xfId="0" applyNumberFormat="1" applyFont="1" applyBorder="1"/>
    <xf numFmtId="3" fontId="2" fillId="2" borderId="1" xfId="0" applyNumberFormat="1" applyFont="1" applyFill="1" applyBorder="1"/>
    <xf numFmtId="3" fontId="0" fillId="0" borderId="1" xfId="0" applyNumberFormat="1" applyBorder="1" applyAlignment="1">
      <alignment horizontal="left"/>
    </xf>
    <xf numFmtId="0" fontId="2" fillId="0" borderId="0" xfId="0" applyFont="1"/>
    <xf numFmtId="3" fontId="0" fillId="0" borderId="1" xfId="0" applyNumberFormat="1" applyBorder="1" applyAlignment="1"/>
    <xf numFmtId="3" fontId="0" fillId="0" borderId="0" xfId="0" applyNumberFormat="1" applyBorder="1" applyAlignment="1"/>
    <xf numFmtId="164" fontId="0" fillId="0" borderId="0" xfId="1" applyNumberFormat="1" applyFont="1"/>
    <xf numFmtId="165" fontId="0" fillId="0" borderId="0" xfId="1" applyNumberFormat="1" applyFont="1"/>
    <xf numFmtId="166" fontId="0" fillId="0" borderId="0" xfId="0" applyNumberFormat="1"/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horizontal="left"/>
    </xf>
    <xf numFmtId="3" fontId="2" fillId="0" borderId="1" xfId="0" applyNumberFormat="1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8"/>
  <sheetViews>
    <sheetView workbookViewId="0">
      <selection activeCell="B11" sqref="B11"/>
    </sheetView>
  </sheetViews>
  <sheetFormatPr defaultRowHeight="14.5" x14ac:dyDescent="0.35"/>
  <sheetData>
    <row r="3" spans="2:2" x14ac:dyDescent="0.35">
      <c r="B3" t="s">
        <v>73</v>
      </c>
    </row>
    <row r="4" spans="2:2" x14ac:dyDescent="0.35">
      <c r="B4" t="s">
        <v>75</v>
      </c>
    </row>
    <row r="5" spans="2:2" x14ac:dyDescent="0.35">
      <c r="B5" t="s">
        <v>74</v>
      </c>
    </row>
    <row r="6" spans="2:2" x14ac:dyDescent="0.35">
      <c r="B6" t="s">
        <v>77</v>
      </c>
    </row>
    <row r="8" spans="2:2" x14ac:dyDescent="0.35">
      <c r="B8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tabSelected="1" workbookViewId="0">
      <selection activeCell="H15" sqref="H15"/>
    </sheetView>
  </sheetViews>
  <sheetFormatPr defaultRowHeight="14.5" x14ac:dyDescent="0.35"/>
  <cols>
    <col min="2" max="2" width="13.1796875" customWidth="1"/>
    <col min="4" max="4" width="9.7265625" bestFit="1" customWidth="1"/>
    <col min="5" max="5" width="10.7265625" bestFit="1" customWidth="1"/>
    <col min="7" max="7" width="10.81640625" bestFit="1" customWidth="1"/>
    <col min="8" max="8" width="19.90625" bestFit="1" customWidth="1"/>
    <col min="9" max="9" width="13.08984375" bestFit="1" customWidth="1"/>
  </cols>
  <sheetData>
    <row r="1" spans="2:17" x14ac:dyDescent="0.35">
      <c r="B1" s="14" t="s">
        <v>64</v>
      </c>
    </row>
    <row r="2" spans="2:17" x14ac:dyDescent="0.35">
      <c r="B2" s="8"/>
      <c r="C2" s="8"/>
      <c r="D2" s="20" t="s">
        <v>65</v>
      </c>
      <c r="E2" s="20"/>
      <c r="H2" s="8" t="s">
        <v>67</v>
      </c>
      <c r="I2" s="15">
        <f>D9/B8</f>
        <v>21771750.094734628</v>
      </c>
      <c r="J2" s="16"/>
    </row>
    <row r="3" spans="2:17" x14ac:dyDescent="0.35">
      <c r="B3" s="8">
        <v>1</v>
      </c>
      <c r="C3" s="8" t="s">
        <v>53</v>
      </c>
      <c r="D3" s="25">
        <f>'1. év'!D15</f>
        <v>12487500</v>
      </c>
      <c r="E3" s="25"/>
      <c r="H3" s="8" t="s">
        <v>68</v>
      </c>
      <c r="I3" s="8">
        <v>20</v>
      </c>
    </row>
    <row r="4" spans="2:17" x14ac:dyDescent="0.35">
      <c r="B4" s="8">
        <v>2</v>
      </c>
      <c r="C4" s="8" t="s">
        <v>53</v>
      </c>
      <c r="D4" s="25">
        <f>'2. év'!D15</f>
        <v>15643125</v>
      </c>
      <c r="E4" s="25"/>
      <c r="H4" s="8" t="s">
        <v>69</v>
      </c>
      <c r="I4" s="15">
        <f>I2/I3</f>
        <v>1088587.5047367313</v>
      </c>
    </row>
    <row r="5" spans="2:17" x14ac:dyDescent="0.35">
      <c r="B5" s="8">
        <v>3</v>
      </c>
      <c r="C5" s="8" t="s">
        <v>53</v>
      </c>
      <c r="D5" s="25">
        <f>'3. év'!D15</f>
        <v>20631852.75</v>
      </c>
      <c r="E5" s="25"/>
    </row>
    <row r="6" spans="2:17" x14ac:dyDescent="0.35">
      <c r="B6" s="8">
        <v>4</v>
      </c>
      <c r="C6" s="8" t="s">
        <v>53</v>
      </c>
      <c r="D6" s="25">
        <f>'4. év'!D15</f>
        <v>22982780.627500001</v>
      </c>
      <c r="E6" s="25"/>
      <c r="I6" s="18"/>
      <c r="J6" s="18"/>
      <c r="K6" s="18"/>
      <c r="L6" s="18"/>
      <c r="M6" s="18"/>
      <c r="N6" s="18"/>
      <c r="O6" s="18"/>
      <c r="P6" s="18"/>
      <c r="Q6" s="18"/>
    </row>
    <row r="7" spans="2:17" x14ac:dyDescent="0.35">
      <c r="B7" s="8">
        <v>5</v>
      </c>
      <c r="C7" s="8" t="s">
        <v>53</v>
      </c>
      <c r="D7" s="25">
        <f>'5. év'!D15</f>
        <v>26666117.480925009</v>
      </c>
      <c r="E7" s="25"/>
      <c r="I7" s="17"/>
      <c r="J7" s="18"/>
      <c r="K7" s="18"/>
      <c r="L7" s="18"/>
      <c r="M7" s="18"/>
      <c r="N7" s="18"/>
      <c r="O7" s="18"/>
      <c r="P7" s="18"/>
      <c r="Q7" s="18"/>
    </row>
    <row r="8" spans="2:17" x14ac:dyDescent="0.35">
      <c r="B8" s="8">
        <v>6</v>
      </c>
      <c r="C8" s="8" t="s">
        <v>53</v>
      </c>
      <c r="D8" s="25">
        <f>'6. év'!D15</f>
        <v>32219124.709982753</v>
      </c>
      <c r="E8" s="25"/>
      <c r="I8" s="18"/>
      <c r="J8" s="18"/>
      <c r="K8" s="18"/>
      <c r="L8" s="18"/>
      <c r="M8" s="18"/>
      <c r="N8" s="18"/>
      <c r="O8" s="18"/>
      <c r="P8" s="18"/>
      <c r="Q8" s="18"/>
    </row>
    <row r="9" spans="2:17" x14ac:dyDescent="0.35">
      <c r="B9" s="22" t="s">
        <v>16</v>
      </c>
      <c r="C9" s="23"/>
      <c r="D9" s="21">
        <f>SUM(D3:E8)</f>
        <v>130630500.56840776</v>
      </c>
      <c r="E9" s="21"/>
      <c r="I9" s="18"/>
      <c r="J9" s="18"/>
      <c r="K9" s="18"/>
      <c r="L9" s="18"/>
      <c r="M9" s="18"/>
      <c r="N9" s="18"/>
      <c r="O9" s="18"/>
      <c r="P9" s="18"/>
      <c r="Q9" s="18"/>
    </row>
    <row r="10" spans="2:17" x14ac:dyDescent="0.35">
      <c r="I10" s="18"/>
      <c r="J10" s="18"/>
      <c r="K10" s="18"/>
      <c r="L10" s="18"/>
      <c r="M10" s="18"/>
      <c r="N10" s="18"/>
      <c r="O10" s="18"/>
      <c r="P10" s="18"/>
      <c r="Q10" s="18"/>
    </row>
    <row r="11" spans="2:17" x14ac:dyDescent="0.35">
      <c r="B11" s="14" t="s">
        <v>66</v>
      </c>
      <c r="I11" s="18"/>
      <c r="J11" s="18"/>
      <c r="K11" s="18"/>
      <c r="L11" s="18"/>
      <c r="M11" s="18"/>
      <c r="N11" s="18"/>
      <c r="O11" s="18"/>
      <c r="P11" s="18"/>
      <c r="Q11" s="18"/>
    </row>
    <row r="12" spans="2:17" x14ac:dyDescent="0.35">
      <c r="B12" s="24" t="str">
        <f>'1. év'!A4</f>
        <v>Edzések magyarországi pályán</v>
      </c>
      <c r="C12" s="24"/>
      <c r="D12" s="24"/>
      <c r="E12" s="6">
        <f>'1. év'!D4+'2. év'!D4+'3. év'!D4+'4. év'!D4+'5. év'!D4+'6. év'!D4</f>
        <v>3718518.721324</v>
      </c>
      <c r="G12" s="1"/>
      <c r="H12" s="1"/>
      <c r="I12" s="1"/>
      <c r="J12" s="1"/>
      <c r="K12" s="1"/>
      <c r="L12" s="18"/>
      <c r="M12" s="18"/>
      <c r="N12" s="18"/>
      <c r="O12" s="18"/>
      <c r="P12" s="18"/>
      <c r="Q12" s="18"/>
    </row>
    <row r="13" spans="2:17" x14ac:dyDescent="0.35">
      <c r="B13" s="24" t="str">
        <f>'1. év'!A5</f>
        <v>Transzfer délelőtti edzésekre</v>
      </c>
      <c r="C13" s="24"/>
      <c r="D13" s="24"/>
      <c r="E13" s="6">
        <f>'1. év'!D5+'2. év'!D5+'3. év'!D5+'4. év'!D5+'5. év'!D5+'6. év'!D5</f>
        <v>17594074.885296002</v>
      </c>
      <c r="G13" s="1"/>
      <c r="H13" s="1"/>
      <c r="I13" s="1"/>
      <c r="J13" s="1"/>
      <c r="K13" s="1"/>
      <c r="L13" s="18"/>
      <c r="M13" s="18"/>
      <c r="N13" s="18"/>
      <c r="O13" s="18"/>
      <c r="P13" s="18"/>
      <c r="Q13" s="18"/>
    </row>
    <row r="14" spans="2:17" x14ac:dyDescent="0.35">
      <c r="B14" s="24" t="str">
        <f>'1. év'!A6</f>
        <v>Transzfer délutáni edzésekre</v>
      </c>
      <c r="C14" s="24"/>
      <c r="D14" s="24"/>
      <c r="E14" s="6">
        <f>'1. év'!D6+'2. év'!D6+'3. év'!D6+'4. év'!D6+'5. év'!D6+'6. év'!D6</f>
        <v>3718518.7213240005</v>
      </c>
      <c r="G14" s="1"/>
      <c r="H14" s="19"/>
      <c r="I14" s="1"/>
      <c r="J14" s="1"/>
      <c r="K14" s="1"/>
      <c r="L14" s="18"/>
      <c r="M14" s="18"/>
      <c r="N14" s="18"/>
      <c r="O14" s="18"/>
      <c r="P14" s="18"/>
      <c r="Q14" s="18"/>
    </row>
    <row r="15" spans="2:17" x14ac:dyDescent="0.35">
      <c r="B15" s="24" t="str">
        <f>'1. év'!A7</f>
        <v>Edzők, tornatanárok díjazása</v>
      </c>
      <c r="C15" s="24"/>
      <c r="D15" s="24"/>
      <c r="E15" s="6">
        <f>'1. év'!D7+'2. év'!D7+'3. év'!D7+'4. év'!D7+'5. év'!D7+'6. év'!D7</f>
        <v>54337060.270913646</v>
      </c>
      <c r="G15" s="1"/>
      <c r="H15" s="1"/>
      <c r="I15" s="1"/>
      <c r="J15" s="1"/>
      <c r="K15" s="1"/>
      <c r="L15" s="18"/>
      <c r="M15" s="18"/>
      <c r="N15" s="18"/>
      <c r="O15" s="18"/>
      <c r="P15" s="18"/>
      <c r="Q15" s="18"/>
    </row>
    <row r="16" spans="2:17" x14ac:dyDescent="0.35">
      <c r="B16" s="24" t="str">
        <f>'1. év'!A8</f>
        <v>Házi bajnokság</v>
      </c>
      <c r="C16" s="24"/>
      <c r="D16" s="24"/>
      <c r="E16" s="6">
        <f>'1. év'!D8+'2. év'!D8+'3. év'!D8+'4. év'!D8+'5. év'!D8+'6. év'!D8</f>
        <v>1293681.9768600001</v>
      </c>
      <c r="G16" s="1"/>
      <c r="H16" s="1"/>
      <c r="I16" s="1"/>
      <c r="J16" s="1"/>
      <c r="K16" s="1"/>
      <c r="L16" s="18"/>
      <c r="M16" s="18"/>
      <c r="N16" s="18"/>
      <c r="O16" s="18"/>
      <c r="P16" s="18"/>
      <c r="Q16" s="18"/>
    </row>
    <row r="17" spans="2:17" x14ac:dyDescent="0.35">
      <c r="B17" s="24" t="str">
        <f>'1. év'!A9</f>
        <v>hazai Versenyek</v>
      </c>
      <c r="C17" s="24"/>
      <c r="D17" s="24"/>
      <c r="E17" s="6">
        <f>'1. év'!D9+'2. év'!D9+'3. év'!D9+'4. év'!D9+'5. év'!D9+'6. év'!D9</f>
        <v>5952512.3553750003</v>
      </c>
      <c r="G17" s="1"/>
      <c r="H17" s="1"/>
      <c r="I17" s="1"/>
      <c r="J17" s="1"/>
      <c r="K17" s="1"/>
      <c r="L17" s="18"/>
      <c r="M17" s="18"/>
      <c r="N17" s="18"/>
      <c r="O17" s="18"/>
      <c r="P17" s="18"/>
      <c r="Q17" s="18"/>
    </row>
    <row r="18" spans="2:17" x14ac:dyDescent="0.35">
      <c r="B18" s="24" t="str">
        <f>'1. év'!A10</f>
        <v>Külföldi versenyek</v>
      </c>
      <c r="C18" s="24"/>
      <c r="D18" s="24"/>
      <c r="E18" s="6">
        <f>'1. év'!D10+'2. év'!D10+'3. év'!D10+'4. év'!D10+'5. év'!D10+'6. év'!D10</f>
        <v>21817517.730264001</v>
      </c>
      <c r="G18" s="1"/>
      <c r="H18" s="1"/>
      <c r="I18" s="1"/>
      <c r="J18" s="1"/>
      <c r="K18" s="1"/>
      <c r="L18" s="18"/>
      <c r="M18" s="18"/>
      <c r="N18" s="18"/>
      <c r="O18" s="18"/>
      <c r="P18" s="18"/>
      <c r="Q18" s="18"/>
    </row>
    <row r="19" spans="2:17" x14ac:dyDescent="0.35">
      <c r="B19" s="24" t="str">
        <f>'1. év'!A11</f>
        <v>Hazai edzőtábor</v>
      </c>
      <c r="C19" s="24"/>
      <c r="D19" s="24"/>
      <c r="E19" s="6">
        <f>'1. év'!D11+'2. év'!D11+'3. év'!D11+'4. év'!D11+'5. év'!D11+'6. év'!D11</f>
        <v>4101307.4132249998</v>
      </c>
      <c r="G19" s="1"/>
      <c r="H19" s="1"/>
      <c r="I19" s="1"/>
      <c r="J19" s="1"/>
      <c r="K19" s="1"/>
    </row>
    <row r="20" spans="2:17" x14ac:dyDescent="0.35">
      <c r="B20" s="24" t="str">
        <f>'1. év'!A12</f>
        <v>Külföldi edzőtábor</v>
      </c>
      <c r="C20" s="24"/>
      <c r="D20" s="24"/>
      <c r="E20" s="6">
        <f>'1. év'!D12+'2. év'!D12+'3. év'!D12+'4. év'!D12+'5. év'!D12+'6. év'!D12</f>
        <v>4173386.6674799998</v>
      </c>
      <c r="G20" s="1"/>
      <c r="H20" s="1"/>
      <c r="I20" s="1"/>
      <c r="J20" s="1"/>
      <c r="K20" s="1"/>
    </row>
    <row r="21" spans="2:17" x14ac:dyDescent="0.35">
      <c r="B21" s="24" t="str">
        <f>'1. év'!A13</f>
        <v>Elméleti oktatás</v>
      </c>
      <c r="C21" s="24"/>
      <c r="D21" s="24"/>
      <c r="E21" s="6">
        <f>'1. év'!D13+'2. év'!D13+'3. év'!D13+'4. év'!D13+'5. év'!D13+'6. év'!D13</f>
        <v>1366726.0495211002</v>
      </c>
      <c r="G21" s="1"/>
      <c r="H21" s="1"/>
      <c r="I21" s="1"/>
      <c r="J21" s="1"/>
      <c r="K21" s="1"/>
    </row>
    <row r="22" spans="2:17" x14ac:dyDescent="0.35">
      <c r="B22" s="24" t="str">
        <f>'1. év'!A14</f>
        <v>Egyéb szakemberek és infrastruktúra</v>
      </c>
      <c r="C22" s="24"/>
      <c r="D22" s="24"/>
      <c r="E22" s="6">
        <f>'1. év'!D14+'2. év'!D14+'3. év'!D14+'4. év'!D14+'5. év'!D14+'6. év'!D14</f>
        <v>12557195.776825</v>
      </c>
      <c r="G22" s="1"/>
      <c r="H22" s="1"/>
      <c r="I22" s="1"/>
      <c r="J22" s="1"/>
      <c r="K22" s="1"/>
    </row>
    <row r="23" spans="2:17" x14ac:dyDescent="0.35">
      <c r="B23" s="26" t="str">
        <f>'1. év'!A15</f>
        <v>Összesen</v>
      </c>
      <c r="C23" s="26"/>
      <c r="D23" s="26"/>
      <c r="E23" s="12">
        <f>'1. év'!D15+'2. év'!D15+'3. év'!D15+'4. év'!D15+'5. év'!D15+'6. év'!D15</f>
        <v>130630500.56840776</v>
      </c>
      <c r="G23" s="1"/>
      <c r="H23" s="1"/>
      <c r="I23" s="1"/>
      <c r="J23" s="1"/>
      <c r="K23" s="1"/>
    </row>
  </sheetData>
  <mergeCells count="21">
    <mergeCell ref="B23:D23"/>
    <mergeCell ref="B16:D16"/>
    <mergeCell ref="B17:D17"/>
    <mergeCell ref="B18:D18"/>
    <mergeCell ref="B19:D19"/>
    <mergeCell ref="B20:D20"/>
    <mergeCell ref="D2:E2"/>
    <mergeCell ref="D9:E9"/>
    <mergeCell ref="B9:C9"/>
    <mergeCell ref="B21:D21"/>
    <mergeCell ref="B22:D22"/>
    <mergeCell ref="D3:E3"/>
    <mergeCell ref="D4:E4"/>
    <mergeCell ref="D5:E5"/>
    <mergeCell ref="D6:E6"/>
    <mergeCell ref="D7:E7"/>
    <mergeCell ref="D8:E8"/>
    <mergeCell ref="B12:D12"/>
    <mergeCell ref="B13:D13"/>
    <mergeCell ref="B14:D14"/>
    <mergeCell ref="B15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selection activeCell="I26" sqref="I26"/>
    </sheetView>
  </sheetViews>
  <sheetFormatPr defaultRowHeight="14.5" x14ac:dyDescent="0.35"/>
  <cols>
    <col min="1" max="1" width="8.7265625" style="1"/>
    <col min="2" max="2" width="2.7265625" style="1" bestFit="1" customWidth="1"/>
    <col min="3" max="3" width="14.54296875" style="1" customWidth="1"/>
    <col min="4" max="4" width="15.453125" style="1" bestFit="1" customWidth="1"/>
    <col min="5" max="7" width="8.7265625" style="1"/>
    <col min="8" max="8" width="29.36328125" style="1" bestFit="1" customWidth="1"/>
    <col min="9" max="11" width="8.7265625" style="1"/>
    <col min="12" max="12" width="35.26953125" style="1" bestFit="1" customWidth="1"/>
    <col min="13" max="13" width="13.36328125" style="1" bestFit="1" customWidth="1"/>
    <col min="14" max="14" width="9.6328125" style="1" bestFit="1" customWidth="1"/>
    <col min="15" max="15" width="9.7265625" style="1" bestFit="1" customWidth="1"/>
    <col min="16" max="16384" width="8.7265625" style="1"/>
  </cols>
  <sheetData>
    <row r="1" spans="1:15" x14ac:dyDescent="0.35">
      <c r="G1" s="1">
        <v>1</v>
      </c>
      <c r="H1" s="1" t="s">
        <v>53</v>
      </c>
    </row>
    <row r="2" spans="1:15" x14ac:dyDescent="0.35">
      <c r="A2" s="2">
        <f>G1</f>
        <v>1</v>
      </c>
      <c r="B2" s="2" t="str">
        <f>H1</f>
        <v>év</v>
      </c>
      <c r="C2" s="2" t="s">
        <v>54</v>
      </c>
      <c r="G2" s="6" t="s">
        <v>0</v>
      </c>
      <c r="H2" s="6"/>
      <c r="I2" s="6"/>
      <c r="K2" s="6" t="s">
        <v>23</v>
      </c>
      <c r="L2" s="6"/>
      <c r="M2" s="6"/>
      <c r="N2" s="6"/>
      <c r="O2" s="6"/>
    </row>
    <row r="3" spans="1:15" x14ac:dyDescent="0.35">
      <c r="A3" s="30" t="s">
        <v>24</v>
      </c>
      <c r="B3" s="30"/>
      <c r="C3" s="30"/>
      <c r="D3" s="7" t="s">
        <v>63</v>
      </c>
      <c r="G3" s="6"/>
      <c r="H3" s="6" t="s">
        <v>61</v>
      </c>
      <c r="I3" s="6">
        <v>2</v>
      </c>
      <c r="K3" s="6"/>
      <c r="L3" s="11" t="s">
        <v>24</v>
      </c>
      <c r="M3" s="11" t="s">
        <v>25</v>
      </c>
      <c r="N3" s="11" t="s">
        <v>26</v>
      </c>
      <c r="O3" s="11" t="s">
        <v>27</v>
      </c>
    </row>
    <row r="4" spans="1:15" x14ac:dyDescent="0.35">
      <c r="A4" s="24" t="str">
        <f>G2</f>
        <v>Edzések magyarországi pályán</v>
      </c>
      <c r="B4" s="24"/>
      <c r="C4" s="24"/>
      <c r="D4" s="6">
        <f>I12</f>
        <v>0</v>
      </c>
      <c r="G4" s="6"/>
      <c r="H4" s="6" t="s">
        <v>62</v>
      </c>
      <c r="I4" s="6">
        <v>0</v>
      </c>
      <c r="K4" s="6"/>
      <c r="L4" s="8" t="s">
        <v>17</v>
      </c>
      <c r="M4" s="9">
        <v>21</v>
      </c>
      <c r="N4" s="6">
        <f>I25*O21</f>
        <v>5000</v>
      </c>
      <c r="O4" s="6">
        <f>M4*N4</f>
        <v>105000</v>
      </c>
    </row>
    <row r="5" spans="1:15" x14ac:dyDescent="0.35">
      <c r="A5" s="24" t="str">
        <f>G14</f>
        <v>Transzfer délelőtti edzésekre</v>
      </c>
      <c r="B5" s="24"/>
      <c r="C5" s="24"/>
      <c r="D5" s="6">
        <f>I17</f>
        <v>2720000</v>
      </c>
      <c r="G5" s="6"/>
      <c r="H5" s="6" t="s">
        <v>1</v>
      </c>
      <c r="I5" s="6">
        <v>2</v>
      </c>
      <c r="K5" s="6"/>
      <c r="L5" s="8" t="s">
        <v>18</v>
      </c>
      <c r="M5" s="10">
        <v>2</v>
      </c>
      <c r="N5" s="6">
        <f>0*O21</f>
        <v>0</v>
      </c>
      <c r="O5" s="6">
        <f>M5*N5</f>
        <v>0</v>
      </c>
    </row>
    <row r="6" spans="1:15" x14ac:dyDescent="0.35">
      <c r="A6" s="24" t="str">
        <f>G19</f>
        <v>Transzfer délutáni edzésekre</v>
      </c>
      <c r="B6" s="24"/>
      <c r="C6" s="24"/>
      <c r="D6" s="6">
        <f>I22</f>
        <v>0</v>
      </c>
      <c r="G6" s="6"/>
      <c r="H6" s="6" t="s">
        <v>2</v>
      </c>
      <c r="I6" s="6">
        <f>(I3+I4)*I5</f>
        <v>4</v>
      </c>
      <c r="K6" s="6"/>
      <c r="L6" s="8" t="s">
        <v>19</v>
      </c>
      <c r="M6" s="10">
        <v>2</v>
      </c>
      <c r="N6" s="6">
        <f>15000*O21</f>
        <v>15000</v>
      </c>
      <c r="O6" s="6">
        <f>M6*N6</f>
        <v>30000</v>
      </c>
    </row>
    <row r="7" spans="1:15" x14ac:dyDescent="0.35">
      <c r="A7" s="24" t="str">
        <f>G24</f>
        <v>Edzők, tornatanárok díjazása</v>
      </c>
      <c r="B7" s="24"/>
      <c r="C7" s="24"/>
      <c r="D7" s="6">
        <f>I32</f>
        <v>7825500</v>
      </c>
      <c r="G7" s="6"/>
      <c r="H7" s="6" t="s">
        <v>3</v>
      </c>
      <c r="I7" s="6">
        <v>34</v>
      </c>
      <c r="K7" s="6"/>
      <c r="L7" s="8" t="s">
        <v>20</v>
      </c>
      <c r="M7" s="10">
        <v>4</v>
      </c>
      <c r="N7" s="6">
        <f>10000*O21</f>
        <v>10000</v>
      </c>
      <c r="O7" s="6">
        <f>M7*N7</f>
        <v>40000</v>
      </c>
    </row>
    <row r="8" spans="1:15" x14ac:dyDescent="0.35">
      <c r="A8" s="13" t="str">
        <f>G34</f>
        <v>Házi bajnokság</v>
      </c>
      <c r="B8" s="13"/>
      <c r="C8" s="13"/>
      <c r="D8" s="6">
        <f>I37</f>
        <v>200000</v>
      </c>
      <c r="G8" s="6"/>
      <c r="H8" s="6" t="s">
        <v>81</v>
      </c>
      <c r="I8" s="6">
        <f>I3*I7*I5</f>
        <v>136</v>
      </c>
      <c r="K8" s="6"/>
      <c r="L8" s="8" t="s">
        <v>21</v>
      </c>
      <c r="M8" s="10">
        <v>1</v>
      </c>
      <c r="N8" s="6">
        <f>15000*O21</f>
        <v>15000</v>
      </c>
      <c r="O8" s="6">
        <f>M8*N8</f>
        <v>15000</v>
      </c>
    </row>
    <row r="9" spans="1:15" x14ac:dyDescent="0.35">
      <c r="A9" s="13" t="str">
        <f>G39</f>
        <v>hazai Versenyek</v>
      </c>
      <c r="B9" s="13"/>
      <c r="C9" s="13"/>
      <c r="D9" s="6">
        <f>I43</f>
        <v>250000</v>
      </c>
      <c r="G9" s="6"/>
      <c r="H9" s="6" t="s">
        <v>82</v>
      </c>
      <c r="I9" s="6">
        <f>I4*I7*I5</f>
        <v>0</v>
      </c>
      <c r="K9" s="6"/>
      <c r="L9" s="8" t="s">
        <v>22</v>
      </c>
      <c r="M9" s="10">
        <v>4</v>
      </c>
      <c r="N9" s="6">
        <f>13000*O21</f>
        <v>13000</v>
      </c>
      <c r="O9" s="6">
        <f t="shared" ref="O9" si="0">M9*N9</f>
        <v>52000</v>
      </c>
    </row>
    <row r="10" spans="1:15" x14ac:dyDescent="0.35">
      <c r="A10" s="13" t="str">
        <f>G45</f>
        <v>Külföldi versenyek</v>
      </c>
      <c r="B10" s="13"/>
      <c r="C10" s="13"/>
      <c r="D10" s="6">
        <f>I52</f>
        <v>0</v>
      </c>
      <c r="G10" s="6"/>
      <c r="H10" s="6" t="s">
        <v>84</v>
      </c>
      <c r="I10" s="6">
        <v>0</v>
      </c>
      <c r="K10" s="6"/>
      <c r="L10" s="8"/>
      <c r="M10" s="10"/>
      <c r="N10" s="6"/>
      <c r="O10" s="7">
        <f>SUM(O4:O9)</f>
        <v>242000</v>
      </c>
    </row>
    <row r="11" spans="1:15" x14ac:dyDescent="0.35">
      <c r="A11" s="13" t="str">
        <f>G54</f>
        <v>Hazai edzőtábor</v>
      </c>
      <c r="B11" s="13"/>
      <c r="C11" s="13"/>
      <c r="D11" s="6">
        <f>I62</f>
        <v>0</v>
      </c>
      <c r="G11" s="6"/>
      <c r="H11" s="6" t="s">
        <v>83</v>
      </c>
      <c r="I11" s="6">
        <v>5000</v>
      </c>
      <c r="L11"/>
      <c r="M11" s="4"/>
    </row>
    <row r="12" spans="1:15" x14ac:dyDescent="0.35">
      <c r="A12" s="13" t="str">
        <f>G64</f>
        <v>Külföldi edzőtábor</v>
      </c>
      <c r="B12" s="13"/>
      <c r="C12" s="13"/>
      <c r="D12" s="6">
        <f>I73</f>
        <v>0</v>
      </c>
      <c r="G12" s="6"/>
      <c r="H12" s="7" t="s">
        <v>4</v>
      </c>
      <c r="I12" s="7">
        <f>I8*I10+I9*I11</f>
        <v>0</v>
      </c>
      <c r="K12" s="6" t="s">
        <v>70</v>
      </c>
      <c r="L12" s="6"/>
      <c r="M12" s="6"/>
      <c r="N12" s="6"/>
      <c r="O12" s="6"/>
    </row>
    <row r="13" spans="1:15" x14ac:dyDescent="0.35">
      <c r="A13" s="13" t="str">
        <f>K2</f>
        <v>Elméleti oktatás</v>
      </c>
      <c r="B13" s="13"/>
      <c r="C13" s="13"/>
      <c r="D13" s="6">
        <f>O10</f>
        <v>242000</v>
      </c>
      <c r="K13" s="6"/>
      <c r="L13" s="6" t="s">
        <v>28</v>
      </c>
      <c r="M13" s="6">
        <v>10</v>
      </c>
      <c r="N13" s="6">
        <f>10000*O21</f>
        <v>10000</v>
      </c>
      <c r="O13" s="6">
        <f>N13*M13</f>
        <v>100000</v>
      </c>
    </row>
    <row r="14" spans="1:15" x14ac:dyDescent="0.35">
      <c r="A14" s="13" t="str">
        <f>K12</f>
        <v>Egyéb szakemberek és infrastruktúra</v>
      </c>
      <c r="B14" s="13"/>
      <c r="C14" s="13"/>
      <c r="D14" s="6">
        <f>O18</f>
        <v>1250000</v>
      </c>
      <c r="G14" s="6" t="s">
        <v>59</v>
      </c>
      <c r="H14" s="6"/>
      <c r="I14" s="6"/>
      <c r="K14" s="6"/>
      <c r="L14" s="6" t="s">
        <v>29</v>
      </c>
      <c r="M14" s="6">
        <v>10</v>
      </c>
      <c r="N14" s="6">
        <f>15000*O21</f>
        <v>15000</v>
      </c>
      <c r="O14" s="6">
        <f>N14*M14</f>
        <v>150000</v>
      </c>
    </row>
    <row r="15" spans="1:15" x14ac:dyDescent="0.35">
      <c r="A15" s="27" t="s">
        <v>16</v>
      </c>
      <c r="B15" s="28"/>
      <c r="C15" s="29"/>
      <c r="D15" s="12">
        <f>SUM(D4:D14)</f>
        <v>12487500</v>
      </c>
      <c r="G15" s="6"/>
      <c r="H15" s="6" t="s">
        <v>5</v>
      </c>
      <c r="I15" s="6">
        <f>2000*O21</f>
        <v>2000</v>
      </c>
      <c r="K15" s="6"/>
      <c r="L15" s="6" t="s">
        <v>58</v>
      </c>
      <c r="M15" s="6">
        <v>1</v>
      </c>
      <c r="N15" s="6">
        <v>500000</v>
      </c>
      <c r="O15" s="6">
        <f>N15*M15</f>
        <v>500000</v>
      </c>
    </row>
    <row r="16" spans="1:15" x14ac:dyDescent="0.35">
      <c r="G16" s="6"/>
      <c r="H16" s="6" t="s">
        <v>6</v>
      </c>
      <c r="I16" s="6">
        <v>20</v>
      </c>
      <c r="K16" s="6"/>
      <c r="L16" s="6" t="s">
        <v>71</v>
      </c>
      <c r="M16" s="6">
        <v>0</v>
      </c>
      <c r="N16" s="6">
        <v>500000</v>
      </c>
      <c r="O16" s="6">
        <f>N16*M16</f>
        <v>0</v>
      </c>
    </row>
    <row r="17" spans="7:17" x14ac:dyDescent="0.35">
      <c r="G17" s="6"/>
      <c r="H17" s="7" t="s">
        <v>7</v>
      </c>
      <c r="I17" s="7">
        <f>I16*I15*I7*I3</f>
        <v>2720000</v>
      </c>
      <c r="K17" s="6"/>
      <c r="L17" s="6" t="s">
        <v>87</v>
      </c>
      <c r="M17" s="6">
        <v>1</v>
      </c>
      <c r="N17" s="6">
        <v>500000</v>
      </c>
      <c r="O17" s="6">
        <f>N17*M17</f>
        <v>500000</v>
      </c>
      <c r="P17" s="3"/>
      <c r="Q17"/>
    </row>
    <row r="18" spans="7:17" x14ac:dyDescent="0.35">
      <c r="K18" s="6"/>
      <c r="L18" s="6"/>
      <c r="M18" s="6"/>
      <c r="N18" s="6"/>
      <c r="O18" s="7">
        <f>SUM(O13:O17)</f>
        <v>1250000</v>
      </c>
      <c r="Q18"/>
    </row>
    <row r="19" spans="7:17" x14ac:dyDescent="0.35">
      <c r="G19" s="6" t="s">
        <v>60</v>
      </c>
      <c r="H19" s="6"/>
      <c r="I19" s="6"/>
      <c r="Q19"/>
    </row>
    <row r="20" spans="7:17" x14ac:dyDescent="0.35">
      <c r="G20" s="6"/>
      <c r="H20" s="6" t="s">
        <v>5</v>
      </c>
      <c r="I20" s="6">
        <f>500*O21</f>
        <v>500</v>
      </c>
      <c r="K20" s="6" t="s">
        <v>38</v>
      </c>
      <c r="L20" s="6"/>
      <c r="M20" s="6"/>
      <c r="N20" s="6"/>
      <c r="O20" s="8"/>
      <c r="Q20"/>
    </row>
    <row r="21" spans="7:17" x14ac:dyDescent="0.35">
      <c r="G21" s="6"/>
      <c r="H21" s="6" t="s">
        <v>6</v>
      </c>
      <c r="I21" s="6">
        <v>20</v>
      </c>
      <c r="K21" s="6"/>
      <c r="L21" s="6" t="s">
        <v>39</v>
      </c>
      <c r="M21" s="6"/>
      <c r="N21" s="6"/>
      <c r="O21" s="8">
        <v>1</v>
      </c>
      <c r="Q21"/>
    </row>
    <row r="22" spans="7:17" x14ac:dyDescent="0.35">
      <c r="G22" s="6"/>
      <c r="H22" s="7" t="s">
        <v>7</v>
      </c>
      <c r="I22" s="7">
        <f>I4*I7*I20*I21</f>
        <v>0</v>
      </c>
      <c r="O22"/>
      <c r="Q22"/>
    </row>
    <row r="23" spans="7:17" x14ac:dyDescent="0.35">
      <c r="Q23"/>
    </row>
    <row r="24" spans="7:17" x14ac:dyDescent="0.35">
      <c r="G24" s="6" t="s">
        <v>55</v>
      </c>
      <c r="H24" s="6"/>
      <c r="I24" s="6"/>
      <c r="L24" s="5" t="s">
        <v>52</v>
      </c>
      <c r="M24" s="2">
        <f>G1</f>
        <v>1</v>
      </c>
      <c r="N24" s="2" t="str">
        <f>H1</f>
        <v>év</v>
      </c>
      <c r="O24" s="2">
        <f>O18+O10+I12+I17+I32+I37+I43+I52+I62+I73+I22</f>
        <v>12487500</v>
      </c>
      <c r="Q24"/>
    </row>
    <row r="25" spans="7:17" x14ac:dyDescent="0.35">
      <c r="G25" s="6"/>
      <c r="H25" s="6" t="s">
        <v>11</v>
      </c>
      <c r="I25" s="6">
        <f>5000*O21</f>
        <v>5000</v>
      </c>
      <c r="L25" s="5"/>
      <c r="M25" s="2"/>
      <c r="N25" s="2"/>
      <c r="O25" s="2"/>
      <c r="Q25"/>
    </row>
    <row r="26" spans="7:17" x14ac:dyDescent="0.35">
      <c r="G26" s="6"/>
      <c r="H26" s="6" t="s">
        <v>78</v>
      </c>
      <c r="I26" s="6">
        <v>3</v>
      </c>
      <c r="L26" s="5"/>
      <c r="M26" s="2"/>
      <c r="N26" s="2"/>
      <c r="O26" s="2"/>
      <c r="Q26"/>
    </row>
    <row r="27" spans="7:17" x14ac:dyDescent="0.35">
      <c r="G27" s="6"/>
      <c r="H27" s="6" t="s">
        <v>79</v>
      </c>
      <c r="I27" s="6">
        <v>1</v>
      </c>
      <c r="Q27"/>
    </row>
    <row r="28" spans="7:17" x14ac:dyDescent="0.35">
      <c r="G28" s="6"/>
      <c r="H28" s="6" t="s">
        <v>85</v>
      </c>
      <c r="I28" s="6">
        <v>300000</v>
      </c>
      <c r="Q28"/>
    </row>
    <row r="29" spans="7:17" x14ac:dyDescent="0.35">
      <c r="G29" s="6"/>
      <c r="H29" s="6" t="s">
        <v>80</v>
      </c>
      <c r="I29" s="6">
        <f>I28*12*1.33*O21</f>
        <v>4788000</v>
      </c>
    </row>
    <row r="30" spans="7:17" x14ac:dyDescent="0.35">
      <c r="G30" s="6"/>
      <c r="H30" s="6" t="s">
        <v>86</v>
      </c>
      <c r="I30" s="6">
        <v>75000</v>
      </c>
    </row>
    <row r="31" spans="7:17" x14ac:dyDescent="0.35">
      <c r="G31" s="6"/>
      <c r="H31" s="6" t="s">
        <v>12</v>
      </c>
      <c r="I31" s="6">
        <f>I30*10*1.33*O21</f>
        <v>997500</v>
      </c>
    </row>
    <row r="32" spans="7:17" x14ac:dyDescent="0.35">
      <c r="G32" s="6"/>
      <c r="H32" s="7" t="s">
        <v>8</v>
      </c>
      <c r="I32" s="7">
        <f>I31+I29+I27*I25*I9+I8*I25*I26</f>
        <v>7825500</v>
      </c>
    </row>
    <row r="34" spans="7:9" x14ac:dyDescent="0.35">
      <c r="G34" s="6" t="s">
        <v>13</v>
      </c>
      <c r="H34" s="6"/>
      <c r="I34" s="6"/>
    </row>
    <row r="35" spans="7:9" x14ac:dyDescent="0.35">
      <c r="G35" s="6"/>
      <c r="H35" s="6" t="s">
        <v>14</v>
      </c>
      <c r="I35" s="6">
        <f>150000*O21</f>
        <v>150000</v>
      </c>
    </row>
    <row r="36" spans="7:9" x14ac:dyDescent="0.35">
      <c r="G36" s="6"/>
      <c r="H36" s="6" t="s">
        <v>15</v>
      </c>
      <c r="I36" s="6">
        <f>50000*O21</f>
        <v>50000</v>
      </c>
    </row>
    <row r="37" spans="7:9" x14ac:dyDescent="0.35">
      <c r="G37" s="6"/>
      <c r="H37" s="7" t="s">
        <v>16</v>
      </c>
      <c r="I37" s="7">
        <f>I36+I35</f>
        <v>200000</v>
      </c>
    </row>
    <row r="39" spans="7:9" x14ac:dyDescent="0.35">
      <c r="G39" s="6" t="s">
        <v>30</v>
      </c>
      <c r="H39" s="6"/>
      <c r="I39" s="6"/>
    </row>
    <row r="40" spans="7:9" x14ac:dyDescent="0.35">
      <c r="G40" s="6"/>
      <c r="H40" s="6" t="s">
        <v>9</v>
      </c>
      <c r="I40" s="6">
        <f>50000*O21</f>
        <v>50000</v>
      </c>
    </row>
    <row r="41" spans="7:9" x14ac:dyDescent="0.35">
      <c r="G41" s="6"/>
      <c r="H41" s="6" t="s">
        <v>10</v>
      </c>
      <c r="I41" s="6">
        <v>5</v>
      </c>
    </row>
    <row r="42" spans="7:9" x14ac:dyDescent="0.35">
      <c r="G42" s="6"/>
      <c r="H42" s="6" t="s">
        <v>31</v>
      </c>
      <c r="I42" s="6">
        <v>1</v>
      </c>
    </row>
    <row r="43" spans="7:9" x14ac:dyDescent="0.35">
      <c r="G43" s="6"/>
      <c r="H43" s="7" t="s">
        <v>33</v>
      </c>
      <c r="I43" s="7">
        <f>I41*I40*I42</f>
        <v>250000</v>
      </c>
    </row>
    <row r="45" spans="7:9" x14ac:dyDescent="0.35">
      <c r="G45" s="6" t="s">
        <v>32</v>
      </c>
      <c r="H45" s="6"/>
      <c r="I45" s="6"/>
    </row>
    <row r="46" spans="7:9" x14ac:dyDescent="0.35">
      <c r="G46" s="6"/>
      <c r="H46" s="6" t="s">
        <v>9</v>
      </c>
      <c r="I46" s="6">
        <f>120000*O21</f>
        <v>120000</v>
      </c>
    </row>
    <row r="47" spans="7:9" x14ac:dyDescent="0.35">
      <c r="G47" s="6"/>
      <c r="H47" s="6" t="s">
        <v>34</v>
      </c>
      <c r="I47" s="6">
        <f>200000*O21</f>
        <v>200000</v>
      </c>
    </row>
    <row r="48" spans="7:9" x14ac:dyDescent="0.35">
      <c r="G48" s="6"/>
      <c r="H48" s="6" t="s">
        <v>35</v>
      </c>
      <c r="I48" s="6">
        <f>300000*O21</f>
        <v>300000</v>
      </c>
    </row>
    <row r="49" spans="7:9" x14ac:dyDescent="0.35">
      <c r="G49" s="6"/>
      <c r="H49" s="6" t="s">
        <v>36</v>
      </c>
      <c r="I49" s="6">
        <f>100000*O21</f>
        <v>100000</v>
      </c>
    </row>
    <row r="50" spans="7:9" x14ac:dyDescent="0.35">
      <c r="G50" s="6"/>
      <c r="H50" s="6" t="s">
        <v>10</v>
      </c>
      <c r="I50" s="6">
        <v>3</v>
      </c>
    </row>
    <row r="51" spans="7:9" x14ac:dyDescent="0.35">
      <c r="G51" s="6"/>
      <c r="H51" s="6" t="s">
        <v>50</v>
      </c>
      <c r="I51" s="6">
        <v>0</v>
      </c>
    </row>
    <row r="52" spans="7:9" x14ac:dyDescent="0.35">
      <c r="G52" s="6"/>
      <c r="H52" s="7" t="s">
        <v>37</v>
      </c>
      <c r="I52" s="7">
        <f>(I46+I47+I48+I49)*I50*I51</f>
        <v>0</v>
      </c>
    </row>
    <row r="54" spans="7:9" x14ac:dyDescent="0.35">
      <c r="G54" s="6" t="s">
        <v>40</v>
      </c>
      <c r="H54" s="6"/>
      <c r="I54" s="6"/>
    </row>
    <row r="55" spans="7:9" x14ac:dyDescent="0.35">
      <c r="G55" s="6"/>
      <c r="H55" s="6" t="s">
        <v>48</v>
      </c>
      <c r="I55" s="6">
        <v>20</v>
      </c>
    </row>
    <row r="56" spans="7:9" x14ac:dyDescent="0.35">
      <c r="G56" s="6"/>
      <c r="H56" s="6" t="s">
        <v>42</v>
      </c>
      <c r="I56" s="6">
        <f>150000*O21</f>
        <v>150000</v>
      </c>
    </row>
    <row r="57" spans="7:9" x14ac:dyDescent="0.35">
      <c r="G57" s="6"/>
      <c r="H57" s="6" t="s">
        <v>43</v>
      </c>
      <c r="I57" s="6">
        <f>20000*O21</f>
        <v>20000</v>
      </c>
    </row>
    <row r="58" spans="7:9" x14ac:dyDescent="0.35">
      <c r="G58" s="6"/>
      <c r="H58" s="6" t="s">
        <v>44</v>
      </c>
      <c r="I58" s="6">
        <f>20000*O21</f>
        <v>20000</v>
      </c>
    </row>
    <row r="59" spans="7:9" x14ac:dyDescent="0.35">
      <c r="G59" s="6"/>
      <c r="H59" s="6" t="s">
        <v>45</v>
      </c>
      <c r="I59" s="6">
        <f>I55*1500*O21</f>
        <v>30000</v>
      </c>
    </row>
    <row r="60" spans="7:9" x14ac:dyDescent="0.35">
      <c r="G60" s="6"/>
      <c r="H60" s="6" t="s">
        <v>46</v>
      </c>
      <c r="I60" s="6">
        <f>30000*O21</f>
        <v>30000</v>
      </c>
    </row>
    <row r="61" spans="7:9" x14ac:dyDescent="0.35">
      <c r="G61" s="6"/>
      <c r="H61" s="6" t="s">
        <v>47</v>
      </c>
      <c r="I61" s="6">
        <v>0</v>
      </c>
    </row>
    <row r="62" spans="7:9" x14ac:dyDescent="0.35">
      <c r="G62" s="6"/>
      <c r="H62" s="7" t="s">
        <v>41</v>
      </c>
      <c r="I62" s="7">
        <f>(I56+I57+I58+I59+I60)*I61</f>
        <v>0</v>
      </c>
    </row>
    <row r="64" spans="7:9" x14ac:dyDescent="0.35">
      <c r="G64" s="6" t="s">
        <v>49</v>
      </c>
      <c r="H64" s="6"/>
      <c r="I64" s="6"/>
    </row>
    <row r="65" spans="7:9" x14ac:dyDescent="0.35">
      <c r="G65" s="6"/>
      <c r="H65" s="6" t="s">
        <v>48</v>
      </c>
      <c r="I65" s="6">
        <v>20</v>
      </c>
    </row>
    <row r="66" spans="7:9" x14ac:dyDescent="0.35">
      <c r="G66" s="6"/>
      <c r="H66" s="6" t="s">
        <v>42</v>
      </c>
      <c r="I66" s="6">
        <f>150000*O21</f>
        <v>150000</v>
      </c>
    </row>
    <row r="67" spans="7:9" x14ac:dyDescent="0.35">
      <c r="G67" s="6"/>
      <c r="H67" s="6" t="s">
        <v>43</v>
      </c>
      <c r="I67" s="6">
        <f>20000*O21</f>
        <v>20000</v>
      </c>
    </row>
    <row r="68" spans="7:9" x14ac:dyDescent="0.35">
      <c r="G68" s="6"/>
      <c r="H68" s="6" t="s">
        <v>34</v>
      </c>
      <c r="I68" s="6">
        <f>500000*O21</f>
        <v>500000</v>
      </c>
    </row>
    <row r="69" spans="7:9" x14ac:dyDescent="0.35">
      <c r="G69" s="6"/>
      <c r="H69" s="6" t="s">
        <v>45</v>
      </c>
      <c r="I69" s="6">
        <f>I65*5000*O21</f>
        <v>100000</v>
      </c>
    </row>
    <row r="70" spans="7:9" x14ac:dyDescent="0.35">
      <c r="G70" s="6"/>
      <c r="H70" s="6" t="s">
        <v>51</v>
      </c>
      <c r="I70" s="6">
        <f>5000*I65*O21</f>
        <v>100000</v>
      </c>
    </row>
    <row r="71" spans="7:9" x14ac:dyDescent="0.35">
      <c r="G71" s="6"/>
      <c r="H71" s="6" t="s">
        <v>46</v>
      </c>
      <c r="I71" s="6">
        <f>30000*O21</f>
        <v>30000</v>
      </c>
    </row>
    <row r="72" spans="7:9" x14ac:dyDescent="0.35">
      <c r="G72" s="6"/>
      <c r="H72" s="6" t="s">
        <v>47</v>
      </c>
      <c r="I72" s="6">
        <v>0</v>
      </c>
    </row>
    <row r="73" spans="7:9" x14ac:dyDescent="0.35">
      <c r="G73" s="6"/>
      <c r="H73" s="7" t="s">
        <v>56</v>
      </c>
      <c r="I73" s="7">
        <f>(I66+I67+I68+I69+I71+I70)*I72</f>
        <v>0</v>
      </c>
    </row>
  </sheetData>
  <mergeCells count="6">
    <mergeCell ref="A15:C15"/>
    <mergeCell ref="A6:C6"/>
    <mergeCell ref="A3:C3"/>
    <mergeCell ref="A4:C4"/>
    <mergeCell ref="A5:C5"/>
    <mergeCell ref="A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E1" workbookViewId="0">
      <selection activeCell="O19" sqref="O19"/>
    </sheetView>
  </sheetViews>
  <sheetFormatPr defaultRowHeight="14.5" x14ac:dyDescent="0.35"/>
  <cols>
    <col min="1" max="1" width="8.7265625" style="1"/>
    <col min="2" max="2" width="2.7265625" style="1" bestFit="1" customWidth="1"/>
    <col min="3" max="3" width="14.54296875" style="1" customWidth="1"/>
    <col min="4" max="4" width="15.453125" style="1" bestFit="1" customWidth="1"/>
    <col min="5" max="7" width="8.7265625" style="1"/>
    <col min="8" max="8" width="29.36328125" style="1" bestFit="1" customWidth="1"/>
    <col min="9" max="11" width="8.7265625" style="1"/>
    <col min="12" max="12" width="35.26953125" style="1" bestFit="1" customWidth="1"/>
    <col min="13" max="13" width="13.36328125" style="1" bestFit="1" customWidth="1"/>
    <col min="14" max="14" width="9.6328125" style="1" bestFit="1" customWidth="1"/>
    <col min="15" max="15" width="9.7265625" style="1" bestFit="1" customWidth="1"/>
    <col min="16" max="16384" width="8.7265625" style="1"/>
  </cols>
  <sheetData>
    <row r="1" spans="1:15" x14ac:dyDescent="0.35">
      <c r="G1" s="1">
        <v>2</v>
      </c>
      <c r="H1" s="1" t="s">
        <v>53</v>
      </c>
    </row>
    <row r="2" spans="1:15" x14ac:dyDescent="0.35">
      <c r="A2" s="2">
        <f>G1</f>
        <v>2</v>
      </c>
      <c r="B2" s="2" t="str">
        <f>H1</f>
        <v>év</v>
      </c>
      <c r="C2" s="2" t="s">
        <v>54</v>
      </c>
      <c r="G2" s="6" t="s">
        <v>0</v>
      </c>
      <c r="H2" s="6"/>
      <c r="I2" s="6"/>
      <c r="K2" s="6" t="s">
        <v>23</v>
      </c>
      <c r="L2" s="6"/>
      <c r="M2" s="6"/>
      <c r="N2" s="6"/>
      <c r="O2" s="6"/>
    </row>
    <row r="3" spans="1:15" x14ac:dyDescent="0.35">
      <c r="A3" s="30" t="s">
        <v>24</v>
      </c>
      <c r="B3" s="30"/>
      <c r="C3" s="30"/>
      <c r="D3" s="7" t="s">
        <v>63</v>
      </c>
      <c r="G3" s="6"/>
      <c r="H3" s="6" t="s">
        <v>61</v>
      </c>
      <c r="I3" s="6">
        <v>2</v>
      </c>
      <c r="K3" s="6"/>
      <c r="L3" s="11" t="s">
        <v>24</v>
      </c>
      <c r="M3" s="11" t="s">
        <v>25</v>
      </c>
      <c r="N3" s="11" t="s">
        <v>26</v>
      </c>
      <c r="O3" s="11" t="s">
        <v>27</v>
      </c>
    </row>
    <row r="4" spans="1:15" x14ac:dyDescent="0.35">
      <c r="A4" s="24" t="str">
        <f>G2</f>
        <v>Edzések magyarországi pályán</v>
      </c>
      <c r="B4" s="24"/>
      <c r="C4" s="24"/>
      <c r="D4" s="6">
        <f>I12</f>
        <v>700400</v>
      </c>
      <c r="G4" s="6"/>
      <c r="H4" s="6" t="s">
        <v>62</v>
      </c>
      <c r="I4" s="6">
        <v>2</v>
      </c>
      <c r="K4" s="6"/>
      <c r="L4" s="8" t="s">
        <v>17</v>
      </c>
      <c r="M4" s="10">
        <v>21</v>
      </c>
      <c r="N4" s="6">
        <f>I25</f>
        <v>5150</v>
      </c>
      <c r="O4" s="6">
        <f>M4*N4</f>
        <v>108150</v>
      </c>
    </row>
    <row r="5" spans="1:15" x14ac:dyDescent="0.35">
      <c r="A5" s="24" t="str">
        <f>G14</f>
        <v>Transzfer délelőtti edzésekre</v>
      </c>
      <c r="B5" s="24"/>
      <c r="C5" s="24"/>
      <c r="D5" s="6">
        <f>I17</f>
        <v>2801600</v>
      </c>
      <c r="G5" s="6"/>
      <c r="H5" s="6" t="s">
        <v>1</v>
      </c>
      <c r="I5" s="6">
        <v>2</v>
      </c>
      <c r="K5" s="6"/>
      <c r="L5" s="8" t="s">
        <v>18</v>
      </c>
      <c r="M5" s="10">
        <v>2</v>
      </c>
      <c r="N5" s="6">
        <f>0*O21</f>
        <v>0</v>
      </c>
      <c r="O5" s="6">
        <f>M5*N5</f>
        <v>0</v>
      </c>
    </row>
    <row r="6" spans="1:15" x14ac:dyDescent="0.35">
      <c r="A6" s="24" t="str">
        <f>G19</f>
        <v>Transzfer délutáni edzésekre</v>
      </c>
      <c r="B6" s="24"/>
      <c r="C6" s="24"/>
      <c r="D6" s="6">
        <f>I22</f>
        <v>700400</v>
      </c>
      <c r="G6" s="6"/>
      <c r="H6" s="6" t="s">
        <v>2</v>
      </c>
      <c r="I6" s="6">
        <f>(I3+I4)*I5</f>
        <v>8</v>
      </c>
      <c r="K6" s="6"/>
      <c r="L6" s="8" t="s">
        <v>19</v>
      </c>
      <c r="M6" s="10">
        <v>4</v>
      </c>
      <c r="N6" s="6">
        <f>'1. év'!N6*$O$21</f>
        <v>15450</v>
      </c>
      <c r="O6" s="6">
        <f>M6*N6</f>
        <v>61800</v>
      </c>
    </row>
    <row r="7" spans="1:15" x14ac:dyDescent="0.35">
      <c r="A7" s="24" t="str">
        <f>G24</f>
        <v>Edzők, tornatanárok díjazása</v>
      </c>
      <c r="B7" s="24"/>
      <c r="C7" s="24"/>
      <c r="D7" s="6">
        <f>I32</f>
        <v>8760665</v>
      </c>
      <c r="G7" s="6"/>
      <c r="H7" s="6" t="s">
        <v>3</v>
      </c>
      <c r="I7" s="6">
        <v>34</v>
      </c>
      <c r="K7" s="6"/>
      <c r="L7" s="8" t="s">
        <v>20</v>
      </c>
      <c r="M7" s="10">
        <v>2</v>
      </c>
      <c r="N7" s="6">
        <f>'1. év'!N7*$O$21</f>
        <v>10300</v>
      </c>
      <c r="O7" s="6">
        <f>M7*N7</f>
        <v>20600</v>
      </c>
    </row>
    <row r="8" spans="1:15" x14ac:dyDescent="0.35">
      <c r="A8" s="13" t="str">
        <f>G34</f>
        <v>Házi bajnokság</v>
      </c>
      <c r="B8" s="13"/>
      <c r="C8" s="13"/>
      <c r="D8" s="6">
        <f>I37</f>
        <v>206000</v>
      </c>
      <c r="G8" s="6"/>
      <c r="H8" s="6" t="s">
        <v>81</v>
      </c>
      <c r="I8" s="6">
        <f>I3*I7*I5</f>
        <v>136</v>
      </c>
      <c r="K8" s="6"/>
      <c r="L8" s="8" t="s">
        <v>21</v>
      </c>
      <c r="M8" s="10">
        <v>1</v>
      </c>
      <c r="N8" s="6">
        <f>'1. év'!N8*$O$21</f>
        <v>15450</v>
      </c>
      <c r="O8" s="6">
        <f>M8*N8</f>
        <v>15450</v>
      </c>
    </row>
    <row r="9" spans="1:15" x14ac:dyDescent="0.35">
      <c r="A9" s="13" t="str">
        <f>G39</f>
        <v>hazai Versenyek</v>
      </c>
      <c r="B9" s="13"/>
      <c r="C9" s="13"/>
      <c r="D9" s="6">
        <f>I43</f>
        <v>154500</v>
      </c>
      <c r="G9" s="6"/>
      <c r="H9" s="6" t="s">
        <v>82</v>
      </c>
      <c r="I9" s="6">
        <f>I4*I7*I5</f>
        <v>136</v>
      </c>
      <c r="K9" s="6"/>
      <c r="L9" s="8" t="s">
        <v>22</v>
      </c>
      <c r="M9" s="10">
        <v>4</v>
      </c>
      <c r="N9" s="6">
        <f>'1. év'!N9*$O$21</f>
        <v>13390</v>
      </c>
      <c r="O9" s="6">
        <f t="shared" ref="O9" si="0">M9*N9</f>
        <v>53560</v>
      </c>
    </row>
    <row r="10" spans="1:15" x14ac:dyDescent="0.35">
      <c r="A10" s="13" t="str">
        <f>G45</f>
        <v>Külföldi versenyek</v>
      </c>
      <c r="B10" s="13"/>
      <c r="C10" s="13"/>
      <c r="D10" s="6">
        <f>I52</f>
        <v>0</v>
      </c>
      <c r="G10" s="6"/>
      <c r="H10" s="6" t="s">
        <v>84</v>
      </c>
      <c r="I10" s="6">
        <v>0</v>
      </c>
      <c r="K10" s="6"/>
      <c r="L10" s="8"/>
      <c r="M10" s="10"/>
      <c r="N10" s="6"/>
      <c r="O10" s="7">
        <f>SUM(O4:O9)</f>
        <v>259560</v>
      </c>
    </row>
    <row r="11" spans="1:15" x14ac:dyDescent="0.35">
      <c r="A11" s="13" t="str">
        <f>G54</f>
        <v>Hazai edzőtábor</v>
      </c>
      <c r="B11" s="13"/>
      <c r="C11" s="13"/>
      <c r="D11" s="6">
        <f>I62</f>
        <v>772500</v>
      </c>
      <c r="G11" s="6"/>
      <c r="H11" s="6" t="s">
        <v>83</v>
      </c>
      <c r="I11" s="6">
        <f>'1. év'!I11*$O$21</f>
        <v>5150</v>
      </c>
      <c r="L11"/>
      <c r="M11" s="4"/>
    </row>
    <row r="12" spans="1:15" x14ac:dyDescent="0.35">
      <c r="A12" s="13" t="str">
        <f>G64</f>
        <v>Külföldi edzőtábor</v>
      </c>
      <c r="B12" s="13"/>
      <c r="C12" s="13"/>
      <c r="D12" s="6">
        <f>I73</f>
        <v>0</v>
      </c>
      <c r="G12" s="6"/>
      <c r="H12" s="7" t="s">
        <v>4</v>
      </c>
      <c r="I12" s="7">
        <f>I8*I10+I9*I11</f>
        <v>700400</v>
      </c>
      <c r="K12" s="6" t="s">
        <v>57</v>
      </c>
      <c r="L12" s="6"/>
      <c r="M12" s="6"/>
      <c r="N12" s="6"/>
      <c r="O12" s="6"/>
    </row>
    <row r="13" spans="1:15" x14ac:dyDescent="0.35">
      <c r="A13" s="13" t="str">
        <f>K2</f>
        <v>Elméleti oktatás</v>
      </c>
      <c r="B13" s="13"/>
      <c r="C13" s="13"/>
      <c r="D13" s="6">
        <f>O10</f>
        <v>259560</v>
      </c>
      <c r="K13" s="6"/>
      <c r="L13" s="6" t="s">
        <v>28</v>
      </c>
      <c r="M13" s="6">
        <v>10</v>
      </c>
      <c r="N13" s="6">
        <f>'1. év'!N13*$O$21</f>
        <v>10300</v>
      </c>
      <c r="O13" s="6">
        <f>N13*M13</f>
        <v>103000</v>
      </c>
    </row>
    <row r="14" spans="1:15" x14ac:dyDescent="0.35">
      <c r="A14" s="13" t="str">
        <f>K12</f>
        <v>Egyéb szakemberek</v>
      </c>
      <c r="B14" s="13"/>
      <c r="C14" s="13"/>
      <c r="D14" s="6">
        <f>O18</f>
        <v>1287500</v>
      </c>
      <c r="G14" s="6" t="s">
        <v>59</v>
      </c>
      <c r="H14" s="6"/>
      <c r="I14" s="6"/>
      <c r="K14" s="6"/>
      <c r="L14" s="6" t="s">
        <v>29</v>
      </c>
      <c r="M14" s="6">
        <v>10</v>
      </c>
      <c r="N14" s="6">
        <f>'1. év'!N14*$O$21</f>
        <v>15450</v>
      </c>
      <c r="O14" s="6">
        <f>N14*M14</f>
        <v>154500</v>
      </c>
    </row>
    <row r="15" spans="1:15" x14ac:dyDescent="0.35">
      <c r="A15" s="27" t="s">
        <v>16</v>
      </c>
      <c r="B15" s="28"/>
      <c r="C15" s="29"/>
      <c r="D15" s="12">
        <f>SUM(D4:D14)</f>
        <v>15643125</v>
      </c>
      <c r="G15" s="6"/>
      <c r="H15" s="6" t="s">
        <v>5</v>
      </c>
      <c r="I15" s="6">
        <f>'1. év'!I15*$O$21</f>
        <v>2060</v>
      </c>
      <c r="K15" s="6"/>
      <c r="L15" s="6" t="s">
        <v>58</v>
      </c>
      <c r="M15" s="6">
        <v>1</v>
      </c>
      <c r="N15" s="6">
        <f>'1. év'!N15*$O$21</f>
        <v>515000</v>
      </c>
      <c r="O15" s="6">
        <f>N15*M15</f>
        <v>515000</v>
      </c>
    </row>
    <row r="16" spans="1:15" x14ac:dyDescent="0.35">
      <c r="G16" s="6"/>
      <c r="H16" s="6" t="s">
        <v>6</v>
      </c>
      <c r="I16" s="6">
        <v>20</v>
      </c>
      <c r="K16" s="6"/>
      <c r="L16" s="6" t="s">
        <v>71</v>
      </c>
      <c r="M16" s="6">
        <v>0</v>
      </c>
      <c r="N16" s="6">
        <f>'1. év'!N16*$O$21</f>
        <v>515000</v>
      </c>
      <c r="O16" s="6">
        <f>N16*M16</f>
        <v>0</v>
      </c>
    </row>
    <row r="17" spans="7:17" x14ac:dyDescent="0.35">
      <c r="G17" s="6"/>
      <c r="H17" s="7" t="s">
        <v>7</v>
      </c>
      <c r="I17" s="7">
        <f>I16*I15*I7*I3</f>
        <v>2801600</v>
      </c>
      <c r="K17" s="6"/>
      <c r="L17" s="6" t="s">
        <v>87</v>
      </c>
      <c r="M17" s="6">
        <v>1</v>
      </c>
      <c r="N17" s="6">
        <f>'1. év'!N17*O21</f>
        <v>515000</v>
      </c>
      <c r="O17" s="6">
        <f>N17*M17</f>
        <v>515000</v>
      </c>
      <c r="P17" s="3"/>
      <c r="Q17"/>
    </row>
    <row r="18" spans="7:17" x14ac:dyDescent="0.35">
      <c r="K18" s="6"/>
      <c r="L18" s="6"/>
      <c r="M18" s="6"/>
      <c r="N18" s="6"/>
      <c r="O18" s="7">
        <f>SUM(O13:O17)</f>
        <v>1287500</v>
      </c>
      <c r="Q18"/>
    </row>
    <row r="19" spans="7:17" x14ac:dyDescent="0.35">
      <c r="G19" s="6" t="s">
        <v>60</v>
      </c>
      <c r="H19" s="6"/>
      <c r="I19" s="6"/>
      <c r="Q19"/>
    </row>
    <row r="20" spans="7:17" x14ac:dyDescent="0.35">
      <c r="G20" s="6"/>
      <c r="H20" s="6" t="s">
        <v>5</v>
      </c>
      <c r="I20" s="6">
        <f>'1. év'!I20*$O$21</f>
        <v>515</v>
      </c>
      <c r="K20" s="6" t="s">
        <v>38</v>
      </c>
      <c r="L20" s="6"/>
      <c r="M20" s="6"/>
      <c r="N20" s="6"/>
      <c r="O20" s="8"/>
      <c r="Q20"/>
    </row>
    <row r="21" spans="7:17" x14ac:dyDescent="0.35">
      <c r="G21" s="6"/>
      <c r="H21" s="6" t="s">
        <v>6</v>
      </c>
      <c r="I21" s="6">
        <v>20</v>
      </c>
      <c r="K21" s="6"/>
      <c r="L21" s="6" t="s">
        <v>39</v>
      </c>
      <c r="M21" s="6"/>
      <c r="N21" s="6"/>
      <c r="O21" s="8">
        <f>O22</f>
        <v>1.03</v>
      </c>
      <c r="Q21"/>
    </row>
    <row r="22" spans="7:17" x14ac:dyDescent="0.35">
      <c r="G22" s="6"/>
      <c r="H22" s="7" t="s">
        <v>7</v>
      </c>
      <c r="I22" s="7">
        <f>I4*I7*I20*I21</f>
        <v>700400</v>
      </c>
      <c r="O22">
        <v>1.03</v>
      </c>
      <c r="Q22"/>
    </row>
    <row r="23" spans="7:17" x14ac:dyDescent="0.35">
      <c r="Q23"/>
    </row>
    <row r="24" spans="7:17" x14ac:dyDescent="0.35">
      <c r="G24" s="6" t="s">
        <v>55</v>
      </c>
      <c r="H24" s="6"/>
      <c r="I24" s="6"/>
      <c r="L24" s="5" t="s">
        <v>52</v>
      </c>
      <c r="M24" s="2">
        <f>G1</f>
        <v>2</v>
      </c>
      <c r="N24" s="2" t="str">
        <f>H1</f>
        <v>év</v>
      </c>
      <c r="O24" s="2">
        <f>O18+O10+I12+I17+I32+I37+I43+I52+I62+I73+I22</f>
        <v>15643125</v>
      </c>
      <c r="Q24"/>
    </row>
    <row r="25" spans="7:17" x14ac:dyDescent="0.35">
      <c r="G25" s="6"/>
      <c r="H25" s="6" t="s">
        <v>11</v>
      </c>
      <c r="I25" s="6">
        <f>'1. év'!I25*$O$21</f>
        <v>5150</v>
      </c>
    </row>
    <row r="26" spans="7:17" x14ac:dyDescent="0.35">
      <c r="G26" s="6"/>
      <c r="H26" s="6" t="s">
        <v>78</v>
      </c>
      <c r="I26" s="6">
        <v>3</v>
      </c>
    </row>
    <row r="27" spans="7:17" x14ac:dyDescent="0.35">
      <c r="G27" s="6"/>
      <c r="H27" s="6" t="s">
        <v>79</v>
      </c>
      <c r="I27" s="6">
        <v>1</v>
      </c>
    </row>
    <row r="28" spans="7:17" x14ac:dyDescent="0.35">
      <c r="G28" s="6"/>
      <c r="H28" s="6" t="s">
        <v>85</v>
      </c>
      <c r="I28" s="6">
        <f>'1. év'!I28*$O$21</f>
        <v>309000</v>
      </c>
    </row>
    <row r="29" spans="7:17" x14ac:dyDescent="0.35">
      <c r="G29" s="6"/>
      <c r="H29" s="6" t="s">
        <v>80</v>
      </c>
      <c r="I29" s="6">
        <f>I28*12*1.33</f>
        <v>4931640</v>
      </c>
    </row>
    <row r="30" spans="7:17" x14ac:dyDescent="0.35">
      <c r="G30" s="6"/>
      <c r="H30" s="6" t="s">
        <v>86</v>
      </c>
      <c r="I30" s="6">
        <f>'1. év'!I30*$O$21</f>
        <v>77250</v>
      </c>
    </row>
    <row r="31" spans="7:17" x14ac:dyDescent="0.35">
      <c r="G31" s="6"/>
      <c r="H31" s="6" t="s">
        <v>12</v>
      </c>
      <c r="I31" s="6">
        <f>I30*10*1.33</f>
        <v>1027425</v>
      </c>
    </row>
    <row r="32" spans="7:17" x14ac:dyDescent="0.35">
      <c r="G32" s="6"/>
      <c r="H32" s="7" t="s">
        <v>8</v>
      </c>
      <c r="I32" s="7">
        <f>I31+I29+I27*I25*I9+I8*I25*I26</f>
        <v>8760665</v>
      </c>
    </row>
    <row r="34" spans="7:9" x14ac:dyDescent="0.35">
      <c r="G34" s="6" t="s">
        <v>13</v>
      </c>
      <c r="H34" s="6"/>
      <c r="I34" s="6"/>
    </row>
    <row r="35" spans="7:9" x14ac:dyDescent="0.35">
      <c r="G35" s="6"/>
      <c r="H35" s="6" t="s">
        <v>14</v>
      </c>
      <c r="I35" s="6">
        <f>'1. év'!I35*$O$21</f>
        <v>154500</v>
      </c>
    </row>
    <row r="36" spans="7:9" x14ac:dyDescent="0.35">
      <c r="G36" s="6"/>
      <c r="H36" s="6" t="s">
        <v>15</v>
      </c>
      <c r="I36" s="6">
        <f>'1. év'!I36*$O$21</f>
        <v>51500</v>
      </c>
    </row>
    <row r="37" spans="7:9" x14ac:dyDescent="0.35">
      <c r="G37" s="6"/>
      <c r="H37" s="7" t="s">
        <v>16</v>
      </c>
      <c r="I37" s="7">
        <f>I36+I35</f>
        <v>206000</v>
      </c>
    </row>
    <row r="39" spans="7:9" x14ac:dyDescent="0.35">
      <c r="G39" s="6" t="s">
        <v>30</v>
      </c>
      <c r="H39" s="6"/>
      <c r="I39" s="6"/>
    </row>
    <row r="40" spans="7:9" x14ac:dyDescent="0.35">
      <c r="G40" s="6"/>
      <c r="H40" s="6" t="s">
        <v>9</v>
      </c>
      <c r="I40" s="6">
        <f>'1. év'!I40*$O$21</f>
        <v>51500</v>
      </c>
    </row>
    <row r="41" spans="7:9" x14ac:dyDescent="0.35">
      <c r="G41" s="6"/>
      <c r="H41" s="6" t="s">
        <v>10</v>
      </c>
      <c r="I41" s="6">
        <v>3</v>
      </c>
    </row>
    <row r="42" spans="7:9" x14ac:dyDescent="0.35">
      <c r="G42" s="6"/>
      <c r="H42" s="6" t="s">
        <v>31</v>
      </c>
      <c r="I42" s="6">
        <v>1</v>
      </c>
    </row>
    <row r="43" spans="7:9" x14ac:dyDescent="0.35">
      <c r="G43" s="6"/>
      <c r="H43" s="7" t="s">
        <v>33</v>
      </c>
      <c r="I43" s="7">
        <f>I41*I40*I42</f>
        <v>154500</v>
      </c>
    </row>
    <row r="45" spans="7:9" x14ac:dyDescent="0.35">
      <c r="G45" s="6" t="s">
        <v>32</v>
      </c>
      <c r="H45" s="6"/>
      <c r="I45" s="6"/>
    </row>
    <row r="46" spans="7:9" x14ac:dyDescent="0.35">
      <c r="G46" s="6"/>
      <c r="H46" s="6" t="s">
        <v>9</v>
      </c>
      <c r="I46" s="6">
        <f>'1. év'!I46*$O$21</f>
        <v>123600</v>
      </c>
    </row>
    <row r="47" spans="7:9" x14ac:dyDescent="0.35">
      <c r="G47" s="6"/>
      <c r="H47" s="6" t="s">
        <v>34</v>
      </c>
      <c r="I47" s="6">
        <f>'1. év'!I47*$O$21</f>
        <v>206000</v>
      </c>
    </row>
    <row r="48" spans="7:9" x14ac:dyDescent="0.35">
      <c r="G48" s="6"/>
      <c r="H48" s="6" t="s">
        <v>35</v>
      </c>
      <c r="I48" s="6">
        <f>'1. év'!I48*$O$21</f>
        <v>309000</v>
      </c>
    </row>
    <row r="49" spans="7:9" x14ac:dyDescent="0.35">
      <c r="G49" s="6"/>
      <c r="H49" s="6" t="s">
        <v>36</v>
      </c>
      <c r="I49" s="6">
        <f>'1. év'!I49*$O$21</f>
        <v>103000</v>
      </c>
    </row>
    <row r="50" spans="7:9" x14ac:dyDescent="0.35">
      <c r="G50" s="6"/>
      <c r="H50" s="6" t="s">
        <v>10</v>
      </c>
      <c r="I50" s="6">
        <v>3</v>
      </c>
    </row>
    <row r="51" spans="7:9" x14ac:dyDescent="0.35">
      <c r="G51" s="6"/>
      <c r="H51" s="6" t="s">
        <v>50</v>
      </c>
      <c r="I51" s="6">
        <v>0</v>
      </c>
    </row>
    <row r="52" spans="7:9" x14ac:dyDescent="0.35">
      <c r="G52" s="6"/>
      <c r="H52" s="7" t="s">
        <v>37</v>
      </c>
      <c r="I52" s="7">
        <f>(I46+I47+I48+I49)*I50*I51</f>
        <v>0</v>
      </c>
    </row>
    <row r="54" spans="7:9" x14ac:dyDescent="0.35">
      <c r="G54" s="6" t="s">
        <v>40</v>
      </c>
      <c r="H54" s="6"/>
      <c r="I54" s="6"/>
    </row>
    <row r="55" spans="7:9" x14ac:dyDescent="0.35">
      <c r="G55" s="6"/>
      <c r="H55" s="6" t="s">
        <v>48</v>
      </c>
      <c r="I55" s="6">
        <v>20</v>
      </c>
    </row>
    <row r="56" spans="7:9" x14ac:dyDescent="0.35">
      <c r="G56" s="6"/>
      <c r="H56" s="6" t="s">
        <v>42</v>
      </c>
      <c r="I56" s="6">
        <f>'1. év'!I56*$O$21</f>
        <v>154500</v>
      </c>
    </row>
    <row r="57" spans="7:9" x14ac:dyDescent="0.35">
      <c r="G57" s="6"/>
      <c r="H57" s="6" t="s">
        <v>43</v>
      </c>
      <c r="I57" s="6">
        <f>'1. év'!I57*$O$21</f>
        <v>20600</v>
      </c>
    </row>
    <row r="58" spans="7:9" x14ac:dyDescent="0.35">
      <c r="G58" s="6"/>
      <c r="H58" s="6" t="s">
        <v>44</v>
      </c>
      <c r="I58" s="6">
        <f>'1. év'!I58*$O$21</f>
        <v>20600</v>
      </c>
    </row>
    <row r="59" spans="7:9" x14ac:dyDescent="0.35">
      <c r="G59" s="6"/>
      <c r="H59" s="6" t="s">
        <v>45</v>
      </c>
      <c r="I59" s="6">
        <f>'1. év'!I59*$O$21</f>
        <v>30900</v>
      </c>
    </row>
    <row r="60" spans="7:9" x14ac:dyDescent="0.35">
      <c r="G60" s="6"/>
      <c r="H60" s="6" t="s">
        <v>46</v>
      </c>
      <c r="I60" s="6">
        <f>'1. év'!I60*$O$21</f>
        <v>30900</v>
      </c>
    </row>
    <row r="61" spans="7:9" x14ac:dyDescent="0.35">
      <c r="G61" s="6"/>
      <c r="H61" s="6" t="s">
        <v>47</v>
      </c>
      <c r="I61" s="6">
        <v>3</v>
      </c>
    </row>
    <row r="62" spans="7:9" x14ac:dyDescent="0.35">
      <c r="G62" s="6"/>
      <c r="H62" s="7" t="s">
        <v>41</v>
      </c>
      <c r="I62" s="7">
        <f>(I56+I57+I58+I59+I60)*I61</f>
        <v>772500</v>
      </c>
    </row>
    <row r="64" spans="7:9" x14ac:dyDescent="0.35">
      <c r="G64" s="6" t="s">
        <v>49</v>
      </c>
      <c r="H64" s="6"/>
      <c r="I64" s="6"/>
    </row>
    <row r="65" spans="7:9" x14ac:dyDescent="0.35">
      <c r="G65" s="6"/>
      <c r="H65" s="6" t="s">
        <v>48</v>
      </c>
      <c r="I65" s="6">
        <v>20</v>
      </c>
    </row>
    <row r="66" spans="7:9" x14ac:dyDescent="0.35">
      <c r="G66" s="6"/>
      <c r="H66" s="6" t="s">
        <v>42</v>
      </c>
      <c r="I66" s="6">
        <f>'1. év'!I66*$O$21</f>
        <v>154500</v>
      </c>
    </row>
    <row r="67" spans="7:9" x14ac:dyDescent="0.35">
      <c r="G67" s="6"/>
      <c r="H67" s="6" t="s">
        <v>43</v>
      </c>
      <c r="I67" s="6">
        <f>'1. év'!I67*$O$21</f>
        <v>20600</v>
      </c>
    </row>
    <row r="68" spans="7:9" x14ac:dyDescent="0.35">
      <c r="G68" s="6"/>
      <c r="H68" s="6" t="s">
        <v>34</v>
      </c>
      <c r="I68" s="6">
        <f>'1. év'!I68*$O$21</f>
        <v>515000</v>
      </c>
    </row>
    <row r="69" spans="7:9" x14ac:dyDescent="0.35">
      <c r="G69" s="6"/>
      <c r="H69" s="6" t="s">
        <v>45</v>
      </c>
      <c r="I69" s="6">
        <f>'1. év'!I69*$O$21</f>
        <v>103000</v>
      </c>
    </row>
    <row r="70" spans="7:9" x14ac:dyDescent="0.35">
      <c r="G70" s="6"/>
      <c r="H70" s="6" t="s">
        <v>51</v>
      </c>
      <c r="I70" s="6">
        <f>'1. év'!I70*$O$21</f>
        <v>103000</v>
      </c>
    </row>
    <row r="71" spans="7:9" x14ac:dyDescent="0.35">
      <c r="G71" s="6"/>
      <c r="H71" s="6" t="s">
        <v>46</v>
      </c>
      <c r="I71" s="6">
        <f>'1. év'!I71*$O$21</f>
        <v>30900</v>
      </c>
    </row>
    <row r="72" spans="7:9" x14ac:dyDescent="0.35">
      <c r="G72" s="6"/>
      <c r="H72" s="6" t="s">
        <v>47</v>
      </c>
      <c r="I72" s="6">
        <v>0</v>
      </c>
    </row>
    <row r="73" spans="7:9" x14ac:dyDescent="0.35">
      <c r="G73" s="6"/>
      <c r="H73" s="7" t="s">
        <v>56</v>
      </c>
      <c r="I73" s="7">
        <f>(I66+I67+I68+I69+I71+I70)*I72</f>
        <v>0</v>
      </c>
    </row>
  </sheetData>
  <mergeCells count="6">
    <mergeCell ref="A15:C15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F22" workbookViewId="0">
      <selection activeCell="O18" sqref="O18"/>
    </sheetView>
  </sheetViews>
  <sheetFormatPr defaultRowHeight="14.5" x14ac:dyDescent="0.35"/>
  <cols>
    <col min="1" max="1" width="8.7265625" style="1"/>
    <col min="2" max="2" width="2.7265625" style="1" bestFit="1" customWidth="1"/>
    <col min="3" max="3" width="14.54296875" style="1" customWidth="1"/>
    <col min="4" max="4" width="15.453125" style="1" bestFit="1" customWidth="1"/>
    <col min="5" max="7" width="8.7265625" style="1"/>
    <col min="8" max="8" width="29.36328125" style="1" bestFit="1" customWidth="1"/>
    <col min="9" max="11" width="8.7265625" style="1"/>
    <col min="12" max="12" width="35.26953125" style="1" bestFit="1" customWidth="1"/>
    <col min="13" max="13" width="13.36328125" style="1" bestFit="1" customWidth="1"/>
    <col min="14" max="14" width="9.6328125" style="1" bestFit="1" customWidth="1"/>
    <col min="15" max="15" width="9.7265625" style="1" bestFit="1" customWidth="1"/>
    <col min="16" max="16384" width="8.7265625" style="1"/>
  </cols>
  <sheetData>
    <row r="1" spans="1:15" x14ac:dyDescent="0.35">
      <c r="G1" s="1">
        <v>3</v>
      </c>
      <c r="H1" s="1" t="s">
        <v>53</v>
      </c>
    </row>
    <row r="2" spans="1:15" x14ac:dyDescent="0.35">
      <c r="A2" s="2">
        <f>G1</f>
        <v>3</v>
      </c>
      <c r="B2" s="2" t="str">
        <f>H1</f>
        <v>év</v>
      </c>
      <c r="C2" s="2" t="s">
        <v>54</v>
      </c>
      <c r="G2" s="6" t="s">
        <v>0</v>
      </c>
      <c r="H2" s="6"/>
      <c r="I2" s="6"/>
      <c r="K2" s="6" t="s">
        <v>23</v>
      </c>
      <c r="L2" s="6"/>
      <c r="M2" s="6"/>
      <c r="N2" s="6"/>
      <c r="O2" s="6"/>
    </row>
    <row r="3" spans="1:15" x14ac:dyDescent="0.35">
      <c r="A3" s="30" t="s">
        <v>24</v>
      </c>
      <c r="B3" s="30"/>
      <c r="C3" s="30"/>
      <c r="D3" s="7" t="s">
        <v>63</v>
      </c>
      <c r="G3" s="6"/>
      <c r="H3" s="6" t="s">
        <v>61</v>
      </c>
      <c r="I3" s="6">
        <v>2</v>
      </c>
      <c r="K3" s="6"/>
      <c r="L3" s="11" t="s">
        <v>24</v>
      </c>
      <c r="M3" s="11" t="s">
        <v>25</v>
      </c>
      <c r="N3" s="11" t="s">
        <v>26</v>
      </c>
      <c r="O3" s="11" t="s">
        <v>27</v>
      </c>
    </row>
    <row r="4" spans="1:15" x14ac:dyDescent="0.35">
      <c r="A4" s="24" t="str">
        <f>G2</f>
        <v>Edzések magyarországi pályán</v>
      </c>
      <c r="B4" s="24"/>
      <c r="C4" s="24"/>
      <c r="D4" s="6">
        <f>I12</f>
        <v>721412</v>
      </c>
      <c r="G4" s="6"/>
      <c r="H4" s="6" t="s">
        <v>62</v>
      </c>
      <c r="I4" s="6">
        <v>2</v>
      </c>
      <c r="K4" s="6"/>
      <c r="L4" s="8" t="s">
        <v>17</v>
      </c>
      <c r="M4" s="10">
        <v>21</v>
      </c>
      <c r="N4" s="6">
        <f>I25</f>
        <v>5304.5</v>
      </c>
      <c r="O4" s="6">
        <f>M4*N4</f>
        <v>111394.5</v>
      </c>
    </row>
    <row r="5" spans="1:15" x14ac:dyDescent="0.35">
      <c r="A5" s="24" t="str">
        <f>G14</f>
        <v>Transzfer délelőtti edzésekre</v>
      </c>
      <c r="B5" s="24"/>
      <c r="C5" s="24"/>
      <c r="D5" s="6">
        <f>I17</f>
        <v>2885647.9999999995</v>
      </c>
      <c r="G5" s="6"/>
      <c r="H5" s="6" t="s">
        <v>1</v>
      </c>
      <c r="I5" s="6">
        <v>2</v>
      </c>
      <c r="K5" s="6"/>
      <c r="L5" s="8" t="s">
        <v>18</v>
      </c>
      <c r="M5" s="10">
        <v>2</v>
      </c>
      <c r="N5" s="6">
        <f>0*O21</f>
        <v>0</v>
      </c>
      <c r="O5" s="6">
        <f>M5*N5</f>
        <v>0</v>
      </c>
    </row>
    <row r="6" spans="1:15" x14ac:dyDescent="0.35">
      <c r="A6" s="24" t="str">
        <f>G19</f>
        <v>Transzfer délutáni edzésekre</v>
      </c>
      <c r="B6" s="24"/>
      <c r="C6" s="24"/>
      <c r="D6" s="6">
        <f>I22</f>
        <v>721412</v>
      </c>
      <c r="G6" s="6"/>
      <c r="H6" s="6" t="s">
        <v>2</v>
      </c>
      <c r="I6" s="6">
        <f>(I3+I4)*I5</f>
        <v>8</v>
      </c>
      <c r="K6" s="6"/>
      <c r="L6" s="8" t="s">
        <v>19</v>
      </c>
      <c r="M6" s="10">
        <v>4</v>
      </c>
      <c r="N6" s="6">
        <f>'1. év'!N6*$O$21</f>
        <v>15913.5</v>
      </c>
      <c r="O6" s="6">
        <f>M6*N6</f>
        <v>63654</v>
      </c>
    </row>
    <row r="7" spans="1:15" x14ac:dyDescent="0.35">
      <c r="A7" s="24" t="str">
        <f>G24</f>
        <v>Edzők, tornatanárok díjazása</v>
      </c>
      <c r="B7" s="24"/>
      <c r="C7" s="24"/>
      <c r="D7" s="6">
        <f>I32</f>
        <v>9023484.9499999993</v>
      </c>
      <c r="G7" s="6"/>
      <c r="H7" s="6" t="s">
        <v>3</v>
      </c>
      <c r="I7" s="6">
        <v>34</v>
      </c>
      <c r="K7" s="6"/>
      <c r="L7" s="8" t="s">
        <v>20</v>
      </c>
      <c r="M7" s="10">
        <v>2</v>
      </c>
      <c r="N7" s="6">
        <f>'1. év'!N7*$O$21</f>
        <v>10609</v>
      </c>
      <c r="O7" s="6">
        <f>M7*N7</f>
        <v>21218</v>
      </c>
    </row>
    <row r="8" spans="1:15" x14ac:dyDescent="0.35">
      <c r="A8" s="13" t="str">
        <f>G34</f>
        <v>Házi bajnokság</v>
      </c>
      <c r="B8" s="13"/>
      <c r="C8" s="13"/>
      <c r="D8" s="6">
        <f>I37</f>
        <v>212180</v>
      </c>
      <c r="G8" s="6"/>
      <c r="H8" s="6" t="s">
        <v>81</v>
      </c>
      <c r="I8" s="6">
        <f>I3*I7*I5</f>
        <v>136</v>
      </c>
      <c r="K8" s="6"/>
      <c r="L8" s="8" t="s">
        <v>21</v>
      </c>
      <c r="M8" s="10">
        <v>1</v>
      </c>
      <c r="N8" s="6">
        <f>'1. év'!N8*$O$21</f>
        <v>15913.5</v>
      </c>
      <c r="O8" s="6">
        <f>M8*N8</f>
        <v>15913.5</v>
      </c>
    </row>
    <row r="9" spans="1:15" x14ac:dyDescent="0.35">
      <c r="A9" s="13" t="str">
        <f>G39</f>
        <v>hazai Versenyek</v>
      </c>
      <c r="B9" s="13"/>
      <c r="C9" s="13"/>
      <c r="D9" s="6">
        <f>I43</f>
        <v>1326125</v>
      </c>
      <c r="G9" s="6"/>
      <c r="H9" s="6" t="s">
        <v>82</v>
      </c>
      <c r="I9" s="6">
        <f>I4*I7*I5</f>
        <v>136</v>
      </c>
      <c r="K9" s="6"/>
      <c r="L9" s="8" t="s">
        <v>22</v>
      </c>
      <c r="M9" s="10">
        <v>4</v>
      </c>
      <c r="N9" s="6">
        <f>'1. év'!N9*$O$21</f>
        <v>13791.699999999999</v>
      </c>
      <c r="O9" s="6">
        <f t="shared" ref="O9" si="0">M9*N9</f>
        <v>55166.799999999996</v>
      </c>
    </row>
    <row r="10" spans="1:15" x14ac:dyDescent="0.35">
      <c r="A10" s="13" t="str">
        <f>G45</f>
        <v>Külföldi versenyek</v>
      </c>
      <c r="B10" s="13"/>
      <c r="C10" s="13"/>
      <c r="D10" s="6">
        <f>I52</f>
        <v>2291544</v>
      </c>
      <c r="G10" s="6"/>
      <c r="H10" s="6" t="s">
        <v>84</v>
      </c>
      <c r="I10" s="6">
        <v>0</v>
      </c>
      <c r="K10" s="6"/>
      <c r="L10" s="8"/>
      <c r="M10" s="10"/>
      <c r="N10" s="6"/>
      <c r="O10" s="7">
        <f>SUM(O4:O9)</f>
        <v>267346.8</v>
      </c>
    </row>
    <row r="11" spans="1:15" x14ac:dyDescent="0.35">
      <c r="A11" s="13" t="str">
        <f>G54</f>
        <v>Hazai edzőtábor</v>
      </c>
      <c r="B11" s="13"/>
      <c r="C11" s="13"/>
      <c r="D11" s="6">
        <f>I62</f>
        <v>795675</v>
      </c>
      <c r="G11" s="6"/>
      <c r="H11" s="6" t="s">
        <v>83</v>
      </c>
      <c r="I11" s="6">
        <f>'1. év'!I11*$O$21</f>
        <v>5304.5</v>
      </c>
      <c r="L11"/>
      <c r="M11" s="4"/>
    </row>
    <row r="12" spans="1:15" x14ac:dyDescent="0.35">
      <c r="A12" s="13" t="str">
        <f>G64</f>
        <v>Külföldi edzőtábor</v>
      </c>
      <c r="B12" s="13"/>
      <c r="C12" s="13"/>
      <c r="D12" s="6">
        <f>I73</f>
        <v>0</v>
      </c>
      <c r="G12" s="6"/>
      <c r="H12" s="7" t="s">
        <v>4</v>
      </c>
      <c r="I12" s="7">
        <f>I8*I10+I9*I11</f>
        <v>721412</v>
      </c>
      <c r="K12" s="6" t="s">
        <v>57</v>
      </c>
      <c r="L12" s="6"/>
      <c r="M12" s="6"/>
      <c r="N12" s="6"/>
      <c r="O12" s="6"/>
    </row>
    <row r="13" spans="1:15" x14ac:dyDescent="0.35">
      <c r="A13" s="13" t="str">
        <f>K2</f>
        <v>Elméleti oktatás</v>
      </c>
      <c r="B13" s="13"/>
      <c r="C13" s="13"/>
      <c r="D13" s="6">
        <f>O10</f>
        <v>267346.8</v>
      </c>
      <c r="K13" s="6"/>
      <c r="L13" s="6" t="s">
        <v>28</v>
      </c>
      <c r="M13" s="6">
        <v>10</v>
      </c>
      <c r="N13" s="6">
        <f>'1. év'!N13*$O$21</f>
        <v>10609</v>
      </c>
      <c r="O13" s="6">
        <f>N13*M13</f>
        <v>106090</v>
      </c>
    </row>
    <row r="14" spans="1:15" x14ac:dyDescent="0.35">
      <c r="A14" s="13" t="str">
        <f>K12</f>
        <v>Egyéb szakemberek</v>
      </c>
      <c r="B14" s="13"/>
      <c r="C14" s="13"/>
      <c r="D14" s="6">
        <f>O18</f>
        <v>2387025</v>
      </c>
      <c r="G14" s="6" t="s">
        <v>59</v>
      </c>
      <c r="H14" s="6"/>
      <c r="I14" s="6"/>
      <c r="K14" s="6"/>
      <c r="L14" s="6" t="s">
        <v>29</v>
      </c>
      <c r="M14" s="6">
        <v>10</v>
      </c>
      <c r="N14" s="6">
        <f>'1. év'!N14*$O$21</f>
        <v>15913.5</v>
      </c>
      <c r="O14" s="6">
        <f>N14*M14</f>
        <v>159135</v>
      </c>
    </row>
    <row r="15" spans="1:15" x14ac:dyDescent="0.35">
      <c r="A15" s="27" t="s">
        <v>16</v>
      </c>
      <c r="B15" s="28"/>
      <c r="C15" s="29"/>
      <c r="D15" s="12">
        <f>SUM(D4:D14)</f>
        <v>20631852.75</v>
      </c>
      <c r="G15" s="6"/>
      <c r="H15" s="6" t="s">
        <v>5</v>
      </c>
      <c r="I15" s="6">
        <f>'1. év'!I15*$O$21</f>
        <v>2121.7999999999997</v>
      </c>
      <c r="K15" s="6"/>
      <c r="L15" s="6" t="s">
        <v>58</v>
      </c>
      <c r="M15" s="6">
        <v>1</v>
      </c>
      <c r="N15" s="6">
        <f>'1. év'!N15*$O$21</f>
        <v>530450</v>
      </c>
      <c r="O15" s="6">
        <f>N15*M15</f>
        <v>530450</v>
      </c>
    </row>
    <row r="16" spans="1:15" x14ac:dyDescent="0.35">
      <c r="G16" s="6"/>
      <c r="H16" s="6" t="s">
        <v>6</v>
      </c>
      <c r="I16" s="6">
        <v>20</v>
      </c>
      <c r="K16" s="6"/>
      <c r="L16" s="6" t="s">
        <v>71</v>
      </c>
      <c r="M16" s="6">
        <v>1</v>
      </c>
      <c r="N16" s="6">
        <f>'1. év'!N16*$O$21</f>
        <v>530450</v>
      </c>
      <c r="O16" s="6">
        <f>N16*M16</f>
        <v>530450</v>
      </c>
    </row>
    <row r="17" spans="7:17" x14ac:dyDescent="0.35">
      <c r="G17" s="6"/>
      <c r="H17" s="7" t="s">
        <v>7</v>
      </c>
      <c r="I17" s="7">
        <f>I16*I15*I7*I3</f>
        <v>2885647.9999999995</v>
      </c>
      <c r="K17" s="6"/>
      <c r="L17" s="6" t="s">
        <v>87</v>
      </c>
      <c r="M17" s="6">
        <v>2</v>
      </c>
      <c r="N17" s="6">
        <f>'1. év'!N17*O21</f>
        <v>530450</v>
      </c>
      <c r="O17" s="6">
        <f>N17*M17</f>
        <v>1060900</v>
      </c>
      <c r="P17" s="3"/>
      <c r="Q17"/>
    </row>
    <row r="18" spans="7:17" x14ac:dyDescent="0.35">
      <c r="K18" s="6"/>
      <c r="L18" s="6"/>
      <c r="M18" s="6"/>
      <c r="N18" s="6"/>
      <c r="O18" s="7">
        <f>SUM(O13:O17)</f>
        <v>2387025</v>
      </c>
      <c r="Q18"/>
    </row>
    <row r="19" spans="7:17" x14ac:dyDescent="0.35">
      <c r="G19" s="6" t="s">
        <v>60</v>
      </c>
      <c r="H19" s="6"/>
      <c r="I19" s="6"/>
      <c r="Q19"/>
    </row>
    <row r="20" spans="7:17" x14ac:dyDescent="0.35">
      <c r="G20" s="6"/>
      <c r="H20" s="6" t="s">
        <v>5</v>
      </c>
      <c r="I20" s="6">
        <f>'1. év'!I20*$O$21</f>
        <v>530.44999999999993</v>
      </c>
      <c r="K20" s="6" t="s">
        <v>38</v>
      </c>
      <c r="L20" s="6"/>
      <c r="M20" s="6"/>
      <c r="N20" s="6"/>
      <c r="O20" s="8"/>
      <c r="Q20"/>
    </row>
    <row r="21" spans="7:17" x14ac:dyDescent="0.35">
      <c r="G21" s="6"/>
      <c r="H21" s="6" t="s">
        <v>6</v>
      </c>
      <c r="I21" s="6">
        <v>20</v>
      </c>
      <c r="K21" s="6"/>
      <c r="L21" s="6" t="s">
        <v>39</v>
      </c>
      <c r="M21" s="6"/>
      <c r="N21" s="6"/>
      <c r="O21" s="8">
        <f>'2. év'!O21*O22</f>
        <v>1.0609</v>
      </c>
      <c r="Q21"/>
    </row>
    <row r="22" spans="7:17" x14ac:dyDescent="0.35">
      <c r="G22" s="6"/>
      <c r="H22" s="7" t="s">
        <v>7</v>
      </c>
      <c r="I22" s="7">
        <f>I4*I7*I20*I21</f>
        <v>721412</v>
      </c>
      <c r="O22">
        <f>'2. év'!O22</f>
        <v>1.03</v>
      </c>
      <c r="Q22"/>
    </row>
    <row r="23" spans="7:17" x14ac:dyDescent="0.35">
      <c r="Q23"/>
    </row>
    <row r="24" spans="7:17" x14ac:dyDescent="0.35">
      <c r="G24" s="6" t="s">
        <v>55</v>
      </c>
      <c r="H24" s="6"/>
      <c r="I24" s="6"/>
      <c r="L24" s="5" t="s">
        <v>52</v>
      </c>
      <c r="M24" s="2">
        <f>G1</f>
        <v>3</v>
      </c>
      <c r="N24" s="2" t="str">
        <f>H1</f>
        <v>év</v>
      </c>
      <c r="O24" s="2">
        <f>O18+O10+I12+I17+I32+I37+I43+I52+I62+I73+I22</f>
        <v>20631852.75</v>
      </c>
      <c r="Q24"/>
    </row>
    <row r="25" spans="7:17" x14ac:dyDescent="0.35">
      <c r="G25" s="6"/>
      <c r="H25" s="6" t="s">
        <v>11</v>
      </c>
      <c r="I25" s="6">
        <f>'1. év'!I25*$O$21</f>
        <v>5304.5</v>
      </c>
      <c r="O25"/>
    </row>
    <row r="26" spans="7:17" x14ac:dyDescent="0.35">
      <c r="G26" s="6"/>
      <c r="H26" s="6" t="s">
        <v>78</v>
      </c>
      <c r="I26" s="6">
        <v>3</v>
      </c>
    </row>
    <row r="27" spans="7:17" x14ac:dyDescent="0.35">
      <c r="G27" s="6"/>
      <c r="H27" s="6" t="s">
        <v>79</v>
      </c>
      <c r="I27" s="6">
        <v>1</v>
      </c>
    </row>
    <row r="28" spans="7:17" x14ac:dyDescent="0.35">
      <c r="G28" s="6"/>
      <c r="H28" s="6" t="s">
        <v>85</v>
      </c>
      <c r="I28" s="6">
        <f>'1. év'!I28*$O$21</f>
        <v>318270</v>
      </c>
    </row>
    <row r="29" spans="7:17" x14ac:dyDescent="0.35">
      <c r="G29" s="6"/>
      <c r="H29" s="6" t="s">
        <v>80</v>
      </c>
      <c r="I29" s="6">
        <f>I28*12*1.33</f>
        <v>5079589.2</v>
      </c>
    </row>
    <row r="30" spans="7:17" x14ac:dyDescent="0.35">
      <c r="G30" s="6"/>
      <c r="H30" s="6" t="s">
        <v>86</v>
      </c>
      <c r="I30" s="6">
        <f>'1. év'!I30*$O$21</f>
        <v>79567.5</v>
      </c>
    </row>
    <row r="31" spans="7:17" x14ac:dyDescent="0.35">
      <c r="G31" s="6"/>
      <c r="H31" s="6" t="s">
        <v>12</v>
      </c>
      <c r="I31" s="6">
        <f>I30*10*1.33</f>
        <v>1058247.75</v>
      </c>
    </row>
    <row r="32" spans="7:17" x14ac:dyDescent="0.35">
      <c r="G32" s="6"/>
      <c r="H32" s="7" t="s">
        <v>8</v>
      </c>
      <c r="I32" s="7">
        <f>I31+I29+I27*I25*I9+I8*I25*I26</f>
        <v>9023484.9499999993</v>
      </c>
    </row>
    <row r="34" spans="7:9" x14ac:dyDescent="0.35">
      <c r="G34" s="6" t="s">
        <v>13</v>
      </c>
      <c r="H34" s="6"/>
      <c r="I34" s="6"/>
    </row>
    <row r="35" spans="7:9" x14ac:dyDescent="0.35">
      <c r="G35" s="6"/>
      <c r="H35" s="6" t="s">
        <v>14</v>
      </c>
      <c r="I35" s="6">
        <f>'1. év'!I35*$O$21</f>
        <v>159135</v>
      </c>
    </row>
    <row r="36" spans="7:9" x14ac:dyDescent="0.35">
      <c r="G36" s="6"/>
      <c r="H36" s="6" t="s">
        <v>15</v>
      </c>
      <c r="I36" s="6">
        <f>'1. év'!I36*$O$21</f>
        <v>53045</v>
      </c>
    </row>
    <row r="37" spans="7:9" x14ac:dyDescent="0.35">
      <c r="G37" s="6"/>
      <c r="H37" s="7" t="s">
        <v>16</v>
      </c>
      <c r="I37" s="7">
        <f>I36+I35</f>
        <v>212180</v>
      </c>
    </row>
    <row r="39" spans="7:9" x14ac:dyDescent="0.35">
      <c r="G39" s="6" t="s">
        <v>30</v>
      </c>
      <c r="H39" s="6"/>
      <c r="I39" s="6"/>
    </row>
    <row r="40" spans="7:9" x14ac:dyDescent="0.35">
      <c r="G40" s="6"/>
      <c r="H40" s="6" t="s">
        <v>9</v>
      </c>
      <c r="I40" s="6">
        <f>'1. év'!I40*$O$21</f>
        <v>53045</v>
      </c>
    </row>
    <row r="41" spans="7:9" x14ac:dyDescent="0.35">
      <c r="G41" s="6"/>
      <c r="H41" s="6" t="s">
        <v>10</v>
      </c>
      <c r="I41" s="6">
        <v>5</v>
      </c>
    </row>
    <row r="42" spans="7:9" x14ac:dyDescent="0.35">
      <c r="G42" s="6"/>
      <c r="H42" s="6" t="s">
        <v>31</v>
      </c>
      <c r="I42" s="6">
        <v>5</v>
      </c>
    </row>
    <row r="43" spans="7:9" x14ac:dyDescent="0.35">
      <c r="G43" s="6"/>
      <c r="H43" s="7" t="s">
        <v>33</v>
      </c>
      <c r="I43" s="7">
        <f>I41*I40*I42</f>
        <v>1326125</v>
      </c>
    </row>
    <row r="45" spans="7:9" x14ac:dyDescent="0.35">
      <c r="G45" s="6" t="s">
        <v>32</v>
      </c>
      <c r="H45" s="6"/>
      <c r="I45" s="6"/>
    </row>
    <row r="46" spans="7:9" x14ac:dyDescent="0.35">
      <c r="G46" s="6"/>
      <c r="H46" s="6" t="s">
        <v>9</v>
      </c>
      <c r="I46" s="6">
        <f>'1. év'!I46*$O$21</f>
        <v>127308</v>
      </c>
    </row>
    <row r="47" spans="7:9" x14ac:dyDescent="0.35">
      <c r="G47" s="6"/>
      <c r="H47" s="6" t="s">
        <v>34</v>
      </c>
      <c r="I47" s="6">
        <f>'1. év'!I47*$O$21</f>
        <v>212180</v>
      </c>
    </row>
    <row r="48" spans="7:9" x14ac:dyDescent="0.35">
      <c r="G48" s="6"/>
      <c r="H48" s="6" t="s">
        <v>35</v>
      </c>
      <c r="I48" s="6">
        <f>'1. év'!I48*$O$21</f>
        <v>318270</v>
      </c>
    </row>
    <row r="49" spans="7:9" x14ac:dyDescent="0.35">
      <c r="G49" s="6"/>
      <c r="H49" s="6" t="s">
        <v>36</v>
      </c>
      <c r="I49" s="6">
        <f>'1. év'!I49*$O$21</f>
        <v>106090</v>
      </c>
    </row>
    <row r="50" spans="7:9" x14ac:dyDescent="0.35">
      <c r="G50" s="6"/>
      <c r="H50" s="6" t="s">
        <v>10</v>
      </c>
      <c r="I50" s="6">
        <v>3</v>
      </c>
    </row>
    <row r="51" spans="7:9" x14ac:dyDescent="0.35">
      <c r="G51" s="6"/>
      <c r="H51" s="6" t="s">
        <v>50</v>
      </c>
      <c r="I51" s="6">
        <v>1</v>
      </c>
    </row>
    <row r="52" spans="7:9" x14ac:dyDescent="0.35">
      <c r="G52" s="6"/>
      <c r="H52" s="7" t="s">
        <v>37</v>
      </c>
      <c r="I52" s="7">
        <f>(I46+I47+I48+I49)*I50*I51</f>
        <v>2291544</v>
      </c>
    </row>
    <row r="54" spans="7:9" x14ac:dyDescent="0.35">
      <c r="G54" s="6" t="s">
        <v>40</v>
      </c>
      <c r="H54" s="6"/>
      <c r="I54" s="6"/>
    </row>
    <row r="55" spans="7:9" x14ac:dyDescent="0.35">
      <c r="G55" s="6"/>
      <c r="H55" s="6" t="s">
        <v>48</v>
      </c>
      <c r="I55" s="6">
        <v>20</v>
      </c>
    </row>
    <row r="56" spans="7:9" x14ac:dyDescent="0.35">
      <c r="G56" s="6"/>
      <c r="H56" s="6" t="s">
        <v>42</v>
      </c>
      <c r="I56" s="6">
        <f>'1. év'!I56*$O$21</f>
        <v>159135</v>
      </c>
    </row>
    <row r="57" spans="7:9" x14ac:dyDescent="0.35">
      <c r="G57" s="6"/>
      <c r="H57" s="6" t="s">
        <v>43</v>
      </c>
      <c r="I57" s="6">
        <f>'1. év'!I57*$O$21</f>
        <v>21218</v>
      </c>
    </row>
    <row r="58" spans="7:9" x14ac:dyDescent="0.35">
      <c r="G58" s="6"/>
      <c r="H58" s="6" t="s">
        <v>44</v>
      </c>
      <c r="I58" s="6">
        <f>'1. év'!I58*$O$21</f>
        <v>21218</v>
      </c>
    </row>
    <row r="59" spans="7:9" x14ac:dyDescent="0.35">
      <c r="G59" s="6"/>
      <c r="H59" s="6" t="s">
        <v>45</v>
      </c>
      <c r="I59" s="6">
        <f>'1. év'!I59*$O$21</f>
        <v>31827</v>
      </c>
    </row>
    <row r="60" spans="7:9" x14ac:dyDescent="0.35">
      <c r="G60" s="6"/>
      <c r="H60" s="6" t="s">
        <v>46</v>
      </c>
      <c r="I60" s="6">
        <f>'1. év'!I60*$O$21</f>
        <v>31827</v>
      </c>
    </row>
    <row r="61" spans="7:9" x14ac:dyDescent="0.35">
      <c r="G61" s="6"/>
      <c r="H61" s="6" t="s">
        <v>47</v>
      </c>
      <c r="I61" s="6">
        <v>3</v>
      </c>
    </row>
    <row r="62" spans="7:9" x14ac:dyDescent="0.35">
      <c r="G62" s="6"/>
      <c r="H62" s="7" t="s">
        <v>41</v>
      </c>
      <c r="I62" s="7">
        <f>(I56+I57+I58+I59+I60)*I61</f>
        <v>795675</v>
      </c>
    </row>
    <row r="64" spans="7:9" x14ac:dyDescent="0.35">
      <c r="G64" s="6" t="s">
        <v>49</v>
      </c>
      <c r="H64" s="6"/>
      <c r="I64" s="6"/>
    </row>
    <row r="65" spans="7:9" x14ac:dyDescent="0.35">
      <c r="G65" s="6"/>
      <c r="H65" s="6" t="s">
        <v>48</v>
      </c>
      <c r="I65" s="6">
        <v>20</v>
      </c>
    </row>
    <row r="66" spans="7:9" x14ac:dyDescent="0.35">
      <c r="G66" s="6"/>
      <c r="H66" s="6" t="s">
        <v>42</v>
      </c>
      <c r="I66" s="6">
        <f>'1. év'!I66*$O$21</f>
        <v>159135</v>
      </c>
    </row>
    <row r="67" spans="7:9" x14ac:dyDescent="0.35">
      <c r="G67" s="6"/>
      <c r="H67" s="6" t="s">
        <v>43</v>
      </c>
      <c r="I67" s="6">
        <f>'1. év'!I67*$O$21</f>
        <v>21218</v>
      </c>
    </row>
    <row r="68" spans="7:9" x14ac:dyDescent="0.35">
      <c r="G68" s="6"/>
      <c r="H68" s="6" t="s">
        <v>34</v>
      </c>
      <c r="I68" s="6">
        <f>'1. év'!I68*$O$21</f>
        <v>530450</v>
      </c>
    </row>
    <row r="69" spans="7:9" x14ac:dyDescent="0.35">
      <c r="G69" s="6"/>
      <c r="H69" s="6" t="s">
        <v>45</v>
      </c>
      <c r="I69" s="6">
        <f>'1. év'!I69*$O$21</f>
        <v>106090</v>
      </c>
    </row>
    <row r="70" spans="7:9" x14ac:dyDescent="0.35">
      <c r="G70" s="6"/>
      <c r="H70" s="6" t="s">
        <v>51</v>
      </c>
      <c r="I70" s="6">
        <f>'1. év'!I70*$O$21</f>
        <v>106090</v>
      </c>
    </row>
    <row r="71" spans="7:9" x14ac:dyDescent="0.35">
      <c r="G71" s="6"/>
      <c r="H71" s="6" t="s">
        <v>46</v>
      </c>
      <c r="I71" s="6">
        <f>'1. év'!I71*$O$21</f>
        <v>31827</v>
      </c>
    </row>
    <row r="72" spans="7:9" x14ac:dyDescent="0.35">
      <c r="G72" s="6"/>
      <c r="H72" s="6" t="s">
        <v>47</v>
      </c>
      <c r="I72" s="6">
        <v>0</v>
      </c>
    </row>
    <row r="73" spans="7:9" x14ac:dyDescent="0.35">
      <c r="G73" s="6"/>
      <c r="H73" s="7" t="s">
        <v>56</v>
      </c>
      <c r="I73" s="7">
        <f>(I66+I67+I68+I69+I71+I70)*I72</f>
        <v>0</v>
      </c>
    </row>
  </sheetData>
  <mergeCells count="6">
    <mergeCell ref="A15:C15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C8" workbookViewId="0">
      <selection activeCell="I43" sqref="I43"/>
    </sheetView>
  </sheetViews>
  <sheetFormatPr defaultRowHeight="14.5" x14ac:dyDescent="0.35"/>
  <cols>
    <col min="1" max="1" width="8.7265625" style="1"/>
    <col min="2" max="2" width="2.7265625" style="1" bestFit="1" customWidth="1"/>
    <col min="3" max="3" width="14.54296875" style="1" customWidth="1"/>
    <col min="4" max="4" width="15.453125" style="1" bestFit="1" customWidth="1"/>
    <col min="5" max="7" width="8.7265625" style="1"/>
    <col min="8" max="8" width="29.36328125" style="1" bestFit="1" customWidth="1"/>
    <col min="9" max="11" width="8.7265625" style="1"/>
    <col min="12" max="12" width="35.26953125" style="1" bestFit="1" customWidth="1"/>
    <col min="13" max="13" width="13.36328125" style="1" bestFit="1" customWidth="1"/>
    <col min="14" max="14" width="9.6328125" style="1" bestFit="1" customWidth="1"/>
    <col min="15" max="15" width="9.7265625" style="1" bestFit="1" customWidth="1"/>
    <col min="16" max="16384" width="8.7265625" style="1"/>
  </cols>
  <sheetData>
    <row r="1" spans="1:15" x14ac:dyDescent="0.35">
      <c r="G1" s="1">
        <v>4</v>
      </c>
      <c r="H1" s="1" t="s">
        <v>53</v>
      </c>
    </row>
    <row r="2" spans="1:15" x14ac:dyDescent="0.35">
      <c r="A2" s="2">
        <f>G1</f>
        <v>4</v>
      </c>
      <c r="B2" s="2" t="str">
        <f>H1</f>
        <v>év</v>
      </c>
      <c r="C2" s="2" t="s">
        <v>54</v>
      </c>
      <c r="G2" s="6" t="s">
        <v>0</v>
      </c>
      <c r="H2" s="6"/>
      <c r="I2" s="6"/>
      <c r="K2" s="6" t="s">
        <v>23</v>
      </c>
      <c r="L2" s="6"/>
      <c r="M2" s="6"/>
      <c r="N2" s="6"/>
      <c r="O2" s="6"/>
    </row>
    <row r="3" spans="1:15" x14ac:dyDescent="0.35">
      <c r="A3" s="30" t="s">
        <v>24</v>
      </c>
      <c r="B3" s="30"/>
      <c r="C3" s="30"/>
      <c r="D3" s="7" t="s">
        <v>63</v>
      </c>
      <c r="G3" s="6"/>
      <c r="H3" s="6" t="s">
        <v>61</v>
      </c>
      <c r="I3" s="6">
        <v>2</v>
      </c>
      <c r="K3" s="6"/>
      <c r="L3" s="11" t="s">
        <v>24</v>
      </c>
      <c r="M3" s="11" t="s">
        <v>25</v>
      </c>
      <c r="N3" s="11" t="s">
        <v>26</v>
      </c>
      <c r="O3" s="11" t="s">
        <v>27</v>
      </c>
    </row>
    <row r="4" spans="1:15" x14ac:dyDescent="0.35">
      <c r="A4" s="24" t="str">
        <f>G2</f>
        <v>Edzések magyarországi pályán</v>
      </c>
      <c r="B4" s="24"/>
      <c r="C4" s="24"/>
      <c r="D4" s="6">
        <f>I12</f>
        <v>743054.36</v>
      </c>
      <c r="G4" s="6"/>
      <c r="H4" s="6" t="s">
        <v>62</v>
      </c>
      <c r="I4" s="6">
        <v>2</v>
      </c>
      <c r="K4" s="6"/>
      <c r="L4" s="8" t="s">
        <v>17</v>
      </c>
      <c r="M4" s="10">
        <v>19</v>
      </c>
      <c r="N4" s="6">
        <f>I23</f>
        <v>0</v>
      </c>
      <c r="O4" s="6">
        <f>M4*N4</f>
        <v>0</v>
      </c>
    </row>
    <row r="5" spans="1:15" x14ac:dyDescent="0.35">
      <c r="A5" s="24" t="str">
        <f>G14</f>
        <v>Transzfer délelőtti edzésekre</v>
      </c>
      <c r="B5" s="24"/>
      <c r="C5" s="24"/>
      <c r="D5" s="6">
        <f>I17</f>
        <v>2972217.44</v>
      </c>
      <c r="G5" s="6"/>
      <c r="H5" s="6" t="s">
        <v>1</v>
      </c>
      <c r="I5" s="6">
        <v>2</v>
      </c>
      <c r="K5" s="6"/>
      <c r="L5" s="8" t="s">
        <v>18</v>
      </c>
      <c r="M5" s="10">
        <v>2</v>
      </c>
      <c r="N5" s="6">
        <f>0*O21</f>
        <v>0</v>
      </c>
      <c r="O5" s="6">
        <f>M5*N5</f>
        <v>0</v>
      </c>
    </row>
    <row r="6" spans="1:15" x14ac:dyDescent="0.35">
      <c r="A6" s="24" t="str">
        <f>G19</f>
        <v>Transzfer délutáni edzésekre</v>
      </c>
      <c r="B6" s="24"/>
      <c r="C6" s="24"/>
      <c r="D6" s="6">
        <f>I22</f>
        <v>743054.36</v>
      </c>
      <c r="G6" s="6"/>
      <c r="H6" s="6" t="s">
        <v>2</v>
      </c>
      <c r="I6" s="6">
        <f>(I3+I4)*I5</f>
        <v>8</v>
      </c>
      <c r="K6" s="6"/>
      <c r="L6" s="8" t="s">
        <v>19</v>
      </c>
      <c r="M6" s="10">
        <v>6</v>
      </c>
      <c r="N6" s="6">
        <f>'1. év'!N6*$O$21</f>
        <v>16390.904999999999</v>
      </c>
      <c r="O6" s="6">
        <f>M6*N6</f>
        <v>98345.43</v>
      </c>
    </row>
    <row r="7" spans="1:15" x14ac:dyDescent="0.35">
      <c r="A7" s="24" t="str">
        <f>G24</f>
        <v>Edzők, tornatanárok díjazása</v>
      </c>
      <c r="B7" s="24"/>
      <c r="C7" s="24"/>
      <c r="D7" s="6">
        <f>I32</f>
        <v>9294189.4985000007</v>
      </c>
      <c r="G7" s="6"/>
      <c r="H7" s="6" t="s">
        <v>3</v>
      </c>
      <c r="I7" s="6">
        <v>34</v>
      </c>
      <c r="K7" s="6"/>
      <c r="L7" s="8" t="s">
        <v>20</v>
      </c>
      <c r="M7" s="10">
        <v>2</v>
      </c>
      <c r="N7" s="6">
        <f>'1. év'!N7*$O$21</f>
        <v>10927.27</v>
      </c>
      <c r="O7" s="6">
        <f>M7*N7</f>
        <v>21854.54</v>
      </c>
    </row>
    <row r="8" spans="1:15" x14ac:dyDescent="0.35">
      <c r="A8" s="13" t="str">
        <f>G34</f>
        <v>Házi bajnokság</v>
      </c>
      <c r="B8" s="13"/>
      <c r="C8" s="13"/>
      <c r="D8" s="6">
        <f>I37</f>
        <v>218545.4</v>
      </c>
      <c r="G8" s="6"/>
      <c r="H8" s="6" t="s">
        <v>81</v>
      </c>
      <c r="I8" s="6">
        <f>I3*I7*I5</f>
        <v>136</v>
      </c>
      <c r="K8" s="6"/>
      <c r="L8" s="8" t="s">
        <v>21</v>
      </c>
      <c r="M8" s="10">
        <v>1</v>
      </c>
      <c r="N8" s="6">
        <f>'1. év'!N8*$O$21</f>
        <v>16390.904999999999</v>
      </c>
      <c r="O8" s="6">
        <f>M8*N8</f>
        <v>16390.904999999999</v>
      </c>
    </row>
    <row r="9" spans="1:15" x14ac:dyDescent="0.35">
      <c r="A9" s="13" t="str">
        <f>G39</f>
        <v>hazai Versenyek</v>
      </c>
      <c r="B9" s="13"/>
      <c r="C9" s="13"/>
      <c r="D9" s="6">
        <f>I43</f>
        <v>1365908.75</v>
      </c>
      <c r="G9" s="6"/>
      <c r="H9" s="6" t="s">
        <v>82</v>
      </c>
      <c r="I9" s="6">
        <f>I4*I7*I5</f>
        <v>136</v>
      </c>
      <c r="K9" s="6"/>
      <c r="L9" s="8" t="s">
        <v>22</v>
      </c>
      <c r="M9" s="10">
        <v>4</v>
      </c>
      <c r="N9" s="6">
        <f>'1. év'!N9*$O$21</f>
        <v>14205.451000000001</v>
      </c>
      <c r="O9" s="6">
        <f t="shared" ref="O9" si="0">M9*N9</f>
        <v>56821.804000000004</v>
      </c>
    </row>
    <row r="10" spans="1:15" x14ac:dyDescent="0.35">
      <c r="A10" s="13" t="str">
        <f>G45</f>
        <v>Külföldi versenyek</v>
      </c>
      <c r="B10" s="13"/>
      <c r="C10" s="13"/>
      <c r="D10" s="6">
        <f>I52</f>
        <v>4720580.6399999997</v>
      </c>
      <c r="G10" s="6"/>
      <c r="H10" s="6" t="s">
        <v>84</v>
      </c>
      <c r="I10" s="6">
        <v>0</v>
      </c>
      <c r="K10" s="6"/>
      <c r="L10" s="8"/>
      <c r="M10" s="10"/>
      <c r="N10" s="6"/>
      <c r="O10" s="7">
        <f>SUM(O4:O9)</f>
        <v>193412.679</v>
      </c>
    </row>
    <row r="11" spans="1:15" x14ac:dyDescent="0.35">
      <c r="A11" s="13" t="str">
        <f>G54</f>
        <v>Hazai edzőtábor</v>
      </c>
      <c r="B11" s="13"/>
      <c r="C11" s="13"/>
      <c r="D11" s="6">
        <f>I62</f>
        <v>819545.25</v>
      </c>
      <c r="G11" s="6"/>
      <c r="H11" s="6" t="s">
        <v>83</v>
      </c>
      <c r="I11" s="6">
        <f>'1. év'!I11*$O$21</f>
        <v>5463.6350000000002</v>
      </c>
      <c r="L11"/>
      <c r="M11" s="4"/>
    </row>
    <row r="12" spans="1:15" x14ac:dyDescent="0.35">
      <c r="A12" s="13" t="str">
        <f>G64</f>
        <v>Külföldi edzőtábor</v>
      </c>
      <c r="B12" s="13"/>
      <c r="C12" s="13"/>
      <c r="D12" s="6">
        <f>I73</f>
        <v>0</v>
      </c>
      <c r="G12" s="6"/>
      <c r="H12" s="7" t="s">
        <v>4</v>
      </c>
      <c r="I12" s="7">
        <f>I8*I10+I9*I11</f>
        <v>743054.36</v>
      </c>
      <c r="K12" s="6" t="s">
        <v>57</v>
      </c>
      <c r="L12" s="6"/>
      <c r="M12" s="6"/>
      <c r="N12" s="6"/>
      <c r="O12" s="6"/>
    </row>
    <row r="13" spans="1:15" x14ac:dyDescent="0.35">
      <c r="A13" s="13" t="str">
        <f>K2</f>
        <v>Elméleti oktatás</v>
      </c>
      <c r="B13" s="13"/>
      <c r="C13" s="13"/>
      <c r="D13" s="6">
        <f>O10</f>
        <v>193412.679</v>
      </c>
      <c r="K13" s="6"/>
      <c r="L13" s="6" t="s">
        <v>28</v>
      </c>
      <c r="M13" s="6">
        <v>10</v>
      </c>
      <c r="N13" s="6">
        <f>'1. év'!N13*$O$21</f>
        <v>10927.27</v>
      </c>
      <c r="O13" s="6">
        <f>N13*M13</f>
        <v>109272.70000000001</v>
      </c>
    </row>
    <row r="14" spans="1:15" x14ac:dyDescent="0.35">
      <c r="A14" s="13" t="str">
        <f>K12</f>
        <v>Egyéb szakemberek</v>
      </c>
      <c r="B14" s="13"/>
      <c r="C14" s="13"/>
      <c r="D14" s="6">
        <f>O18</f>
        <v>1912272.25</v>
      </c>
      <c r="G14" s="6" t="s">
        <v>59</v>
      </c>
      <c r="H14" s="6"/>
      <c r="I14" s="6"/>
      <c r="K14" s="6"/>
      <c r="L14" s="6" t="s">
        <v>29</v>
      </c>
      <c r="M14" s="6">
        <v>10</v>
      </c>
      <c r="N14" s="6">
        <f>'1. év'!N14*$O$21</f>
        <v>16390.904999999999</v>
      </c>
      <c r="O14" s="6">
        <f>N14*M14</f>
        <v>163909.04999999999</v>
      </c>
    </row>
    <row r="15" spans="1:15" x14ac:dyDescent="0.35">
      <c r="A15" s="27" t="s">
        <v>16</v>
      </c>
      <c r="B15" s="28"/>
      <c r="C15" s="29"/>
      <c r="D15" s="12">
        <f>SUM(D4:D14)</f>
        <v>22982780.627500001</v>
      </c>
      <c r="G15" s="6"/>
      <c r="H15" s="6" t="s">
        <v>5</v>
      </c>
      <c r="I15" s="6">
        <f>'1. év'!I15*$O$21</f>
        <v>2185.4540000000002</v>
      </c>
      <c r="K15" s="6"/>
      <c r="L15" s="6" t="s">
        <v>58</v>
      </c>
      <c r="M15" s="6">
        <v>1</v>
      </c>
      <c r="N15" s="6">
        <f>'1. év'!N15*$O$21</f>
        <v>546363.5</v>
      </c>
      <c r="O15" s="6">
        <f>N15*M15</f>
        <v>546363.5</v>
      </c>
    </row>
    <row r="16" spans="1:15" x14ac:dyDescent="0.35">
      <c r="G16" s="6"/>
      <c r="H16" s="6" t="s">
        <v>6</v>
      </c>
      <c r="I16" s="6">
        <v>20</v>
      </c>
      <c r="K16" s="6"/>
      <c r="L16" s="6" t="s">
        <v>71</v>
      </c>
      <c r="M16" s="6">
        <v>1</v>
      </c>
      <c r="N16" s="6">
        <f>'1. év'!N16*$O$21</f>
        <v>546363.5</v>
      </c>
      <c r="O16" s="6">
        <f>N16*M16</f>
        <v>546363.5</v>
      </c>
    </row>
    <row r="17" spans="7:17" x14ac:dyDescent="0.35">
      <c r="G17" s="6"/>
      <c r="H17" s="7" t="s">
        <v>7</v>
      </c>
      <c r="I17" s="7">
        <f>I16*I15*I7*I3</f>
        <v>2972217.44</v>
      </c>
      <c r="K17" s="6"/>
      <c r="L17" s="6" t="s">
        <v>87</v>
      </c>
      <c r="M17" s="6">
        <v>1</v>
      </c>
      <c r="N17" s="6">
        <f>'1. év'!N17*O21</f>
        <v>546363.5</v>
      </c>
      <c r="O17" s="6">
        <f>N17*M17</f>
        <v>546363.5</v>
      </c>
      <c r="P17" s="3"/>
      <c r="Q17"/>
    </row>
    <row r="18" spans="7:17" x14ac:dyDescent="0.35">
      <c r="K18" s="6"/>
      <c r="L18" s="6"/>
      <c r="M18" s="6"/>
      <c r="N18" s="6"/>
      <c r="O18" s="7">
        <f>SUM(O13:O17)</f>
        <v>1912272.25</v>
      </c>
      <c r="Q18"/>
    </row>
    <row r="19" spans="7:17" x14ac:dyDescent="0.35">
      <c r="G19" s="6" t="s">
        <v>60</v>
      </c>
      <c r="H19" s="6"/>
      <c r="I19" s="6"/>
      <c r="Q19"/>
    </row>
    <row r="20" spans="7:17" x14ac:dyDescent="0.35">
      <c r="G20" s="6"/>
      <c r="H20" s="6" t="s">
        <v>5</v>
      </c>
      <c r="I20" s="6">
        <f>'1. év'!I20*$O$21</f>
        <v>546.36350000000004</v>
      </c>
      <c r="K20" s="6" t="s">
        <v>38</v>
      </c>
      <c r="L20" s="6"/>
      <c r="M20" s="6"/>
      <c r="N20" s="6"/>
      <c r="O20" s="8"/>
      <c r="Q20"/>
    </row>
    <row r="21" spans="7:17" x14ac:dyDescent="0.35">
      <c r="G21" s="6"/>
      <c r="H21" s="6" t="s">
        <v>6</v>
      </c>
      <c r="I21" s="6">
        <v>20</v>
      </c>
      <c r="K21" s="6"/>
      <c r="L21" s="6" t="s">
        <v>39</v>
      </c>
      <c r="M21" s="6"/>
      <c r="N21" s="6"/>
      <c r="O21" s="8">
        <f>'3. év'!O21*O22</f>
        <v>1.092727</v>
      </c>
      <c r="Q21"/>
    </row>
    <row r="22" spans="7:17" x14ac:dyDescent="0.35">
      <c r="G22" s="6"/>
      <c r="H22" s="7" t="s">
        <v>7</v>
      </c>
      <c r="I22" s="7">
        <f>I4*I7*I20*I21</f>
        <v>743054.36</v>
      </c>
      <c r="O22">
        <f>'2. év'!O22</f>
        <v>1.03</v>
      </c>
      <c r="Q22"/>
    </row>
    <row r="23" spans="7:17" x14ac:dyDescent="0.35">
      <c r="Q23"/>
    </row>
    <row r="24" spans="7:17" x14ac:dyDescent="0.35">
      <c r="G24" s="6" t="s">
        <v>55</v>
      </c>
      <c r="H24" s="6"/>
      <c r="I24" s="6"/>
      <c r="L24" s="5" t="s">
        <v>52</v>
      </c>
      <c r="M24" s="2">
        <f>G1</f>
        <v>4</v>
      </c>
      <c r="N24" s="2" t="str">
        <f>H1</f>
        <v>év</v>
      </c>
      <c r="O24" s="2">
        <f>O18+O10+I12+I17+I32+I37+I43+I52+I62+I73+I22</f>
        <v>22982780.627500001</v>
      </c>
      <c r="Q24"/>
    </row>
    <row r="25" spans="7:17" x14ac:dyDescent="0.35">
      <c r="G25" s="6"/>
      <c r="H25" s="6" t="s">
        <v>11</v>
      </c>
      <c r="I25" s="6">
        <f>'1. év'!I25*$O$21</f>
        <v>5463.6350000000002</v>
      </c>
    </row>
    <row r="26" spans="7:17" x14ac:dyDescent="0.35">
      <c r="G26" s="6"/>
      <c r="H26" s="6" t="s">
        <v>78</v>
      </c>
      <c r="I26" s="6">
        <v>3</v>
      </c>
    </row>
    <row r="27" spans="7:17" x14ac:dyDescent="0.35">
      <c r="G27" s="6"/>
      <c r="H27" s="6" t="s">
        <v>79</v>
      </c>
      <c r="I27" s="6">
        <v>1</v>
      </c>
    </row>
    <row r="28" spans="7:17" x14ac:dyDescent="0.35">
      <c r="G28" s="6"/>
      <c r="H28" s="6" t="s">
        <v>85</v>
      </c>
      <c r="I28" s="6">
        <f>'1. év'!I28*$O$21</f>
        <v>327818.09999999998</v>
      </c>
    </row>
    <row r="29" spans="7:17" x14ac:dyDescent="0.35">
      <c r="G29" s="6"/>
      <c r="H29" s="6" t="s">
        <v>80</v>
      </c>
      <c r="I29" s="6">
        <f>I28*12*1.33</f>
        <v>5231976.8760000002</v>
      </c>
    </row>
    <row r="30" spans="7:17" x14ac:dyDescent="0.35">
      <c r="G30" s="6"/>
      <c r="H30" s="6" t="s">
        <v>86</v>
      </c>
      <c r="I30" s="6">
        <f>'1. év'!I30*$O$21</f>
        <v>81954.524999999994</v>
      </c>
    </row>
    <row r="31" spans="7:17" x14ac:dyDescent="0.35">
      <c r="G31" s="6"/>
      <c r="H31" s="6" t="s">
        <v>12</v>
      </c>
      <c r="I31" s="6">
        <f>I30*10*1.33</f>
        <v>1089995.1825000001</v>
      </c>
    </row>
    <row r="32" spans="7:17" x14ac:dyDescent="0.35">
      <c r="G32" s="6"/>
      <c r="H32" s="7" t="s">
        <v>8</v>
      </c>
      <c r="I32" s="7">
        <f>I31+I29+I27*I25*I9+I8*I25*I26</f>
        <v>9294189.4985000007</v>
      </c>
    </row>
    <row r="34" spans="7:9" x14ac:dyDescent="0.35">
      <c r="G34" s="6" t="s">
        <v>13</v>
      </c>
      <c r="H34" s="6"/>
      <c r="I34" s="6"/>
    </row>
    <row r="35" spans="7:9" x14ac:dyDescent="0.35">
      <c r="G35" s="6"/>
      <c r="H35" s="6" t="s">
        <v>14</v>
      </c>
      <c r="I35" s="6">
        <f>'1. év'!I35*$O$21</f>
        <v>163909.04999999999</v>
      </c>
    </row>
    <row r="36" spans="7:9" x14ac:dyDescent="0.35">
      <c r="G36" s="6"/>
      <c r="H36" s="6" t="s">
        <v>15</v>
      </c>
      <c r="I36" s="6">
        <f>'1. év'!I36*$O$21</f>
        <v>54636.35</v>
      </c>
    </row>
    <row r="37" spans="7:9" x14ac:dyDescent="0.35">
      <c r="G37" s="6"/>
      <c r="H37" s="7" t="s">
        <v>16</v>
      </c>
      <c r="I37" s="7">
        <f>I36+I35</f>
        <v>218545.4</v>
      </c>
    </row>
    <row r="39" spans="7:9" x14ac:dyDescent="0.35">
      <c r="G39" s="6" t="s">
        <v>30</v>
      </c>
      <c r="H39" s="6"/>
      <c r="I39" s="6"/>
    </row>
    <row r="40" spans="7:9" x14ac:dyDescent="0.35">
      <c r="G40" s="6"/>
      <c r="H40" s="6" t="s">
        <v>9</v>
      </c>
      <c r="I40" s="6">
        <f>'1. év'!I40*$O$21</f>
        <v>54636.35</v>
      </c>
    </row>
    <row r="41" spans="7:9" x14ac:dyDescent="0.35">
      <c r="G41" s="6"/>
      <c r="H41" s="6" t="s">
        <v>10</v>
      </c>
      <c r="I41" s="6">
        <v>5</v>
      </c>
    </row>
    <row r="42" spans="7:9" x14ac:dyDescent="0.35">
      <c r="G42" s="6"/>
      <c r="H42" s="6" t="s">
        <v>31</v>
      </c>
      <c r="I42" s="6">
        <v>5</v>
      </c>
    </row>
    <row r="43" spans="7:9" x14ac:dyDescent="0.35">
      <c r="G43" s="6"/>
      <c r="H43" s="7" t="s">
        <v>33</v>
      </c>
      <c r="I43" s="7">
        <f>I41*I40*I42</f>
        <v>1365908.75</v>
      </c>
    </row>
    <row r="45" spans="7:9" x14ac:dyDescent="0.35">
      <c r="G45" s="6" t="s">
        <v>32</v>
      </c>
      <c r="H45" s="6"/>
      <c r="I45" s="6"/>
    </row>
    <row r="46" spans="7:9" x14ac:dyDescent="0.35">
      <c r="G46" s="6"/>
      <c r="H46" s="6" t="s">
        <v>9</v>
      </c>
      <c r="I46" s="6">
        <f>'1. év'!I46*$O$21</f>
        <v>131127.24</v>
      </c>
    </row>
    <row r="47" spans="7:9" x14ac:dyDescent="0.35">
      <c r="G47" s="6"/>
      <c r="H47" s="6" t="s">
        <v>34</v>
      </c>
      <c r="I47" s="6">
        <f>'1. év'!I47*$O$21</f>
        <v>218545.4</v>
      </c>
    </row>
    <row r="48" spans="7:9" x14ac:dyDescent="0.35">
      <c r="G48" s="6"/>
      <c r="H48" s="6" t="s">
        <v>35</v>
      </c>
      <c r="I48" s="6">
        <f>'1. év'!I48*$O$21</f>
        <v>327818.09999999998</v>
      </c>
    </row>
    <row r="49" spans="7:9" x14ac:dyDescent="0.35">
      <c r="G49" s="6"/>
      <c r="H49" s="6" t="s">
        <v>36</v>
      </c>
      <c r="I49" s="6">
        <f>'1. év'!I49*$O$21</f>
        <v>109272.7</v>
      </c>
    </row>
    <row r="50" spans="7:9" x14ac:dyDescent="0.35">
      <c r="G50" s="6"/>
      <c r="H50" s="6" t="s">
        <v>10</v>
      </c>
      <c r="I50" s="6">
        <v>3</v>
      </c>
    </row>
    <row r="51" spans="7:9" x14ac:dyDescent="0.35">
      <c r="G51" s="6"/>
      <c r="H51" s="6" t="s">
        <v>50</v>
      </c>
      <c r="I51" s="6">
        <v>2</v>
      </c>
    </row>
    <row r="52" spans="7:9" x14ac:dyDescent="0.35">
      <c r="G52" s="6"/>
      <c r="H52" s="7" t="s">
        <v>37</v>
      </c>
      <c r="I52" s="7">
        <f>(I46+I47+I48+I49)*I50*I51</f>
        <v>4720580.6399999997</v>
      </c>
    </row>
    <row r="54" spans="7:9" x14ac:dyDescent="0.35">
      <c r="G54" s="6" t="s">
        <v>40</v>
      </c>
      <c r="H54" s="6"/>
      <c r="I54" s="6"/>
    </row>
    <row r="55" spans="7:9" x14ac:dyDescent="0.35">
      <c r="G55" s="6"/>
      <c r="H55" s="6" t="s">
        <v>48</v>
      </c>
      <c r="I55" s="6">
        <v>20</v>
      </c>
    </row>
    <row r="56" spans="7:9" x14ac:dyDescent="0.35">
      <c r="G56" s="6"/>
      <c r="H56" s="6" t="s">
        <v>42</v>
      </c>
      <c r="I56" s="6">
        <f>'1. év'!I56*$O$21</f>
        <v>163909.04999999999</v>
      </c>
    </row>
    <row r="57" spans="7:9" x14ac:dyDescent="0.35">
      <c r="G57" s="6"/>
      <c r="H57" s="6" t="s">
        <v>43</v>
      </c>
      <c r="I57" s="6">
        <f>'1. év'!I57*$O$21</f>
        <v>21854.54</v>
      </c>
    </row>
    <row r="58" spans="7:9" x14ac:dyDescent="0.35">
      <c r="G58" s="6"/>
      <c r="H58" s="6" t="s">
        <v>44</v>
      </c>
      <c r="I58" s="6">
        <f>'1. év'!I58*$O$21</f>
        <v>21854.54</v>
      </c>
    </row>
    <row r="59" spans="7:9" x14ac:dyDescent="0.35">
      <c r="G59" s="6"/>
      <c r="H59" s="6" t="s">
        <v>45</v>
      </c>
      <c r="I59" s="6">
        <f>'1. év'!I59*$O$21</f>
        <v>32781.81</v>
      </c>
    </row>
    <row r="60" spans="7:9" x14ac:dyDescent="0.35">
      <c r="G60" s="6"/>
      <c r="H60" s="6" t="s">
        <v>46</v>
      </c>
      <c r="I60" s="6">
        <f>'1. év'!I60*$O$21</f>
        <v>32781.81</v>
      </c>
    </row>
    <row r="61" spans="7:9" x14ac:dyDescent="0.35">
      <c r="G61" s="6"/>
      <c r="H61" s="6" t="s">
        <v>47</v>
      </c>
      <c r="I61" s="6">
        <v>3</v>
      </c>
    </row>
    <row r="62" spans="7:9" x14ac:dyDescent="0.35">
      <c r="G62" s="6"/>
      <c r="H62" s="7" t="s">
        <v>41</v>
      </c>
      <c r="I62" s="7">
        <f>(I56+I57+I58+I59+I60)*I61</f>
        <v>819545.25</v>
      </c>
    </row>
    <row r="64" spans="7:9" x14ac:dyDescent="0.35">
      <c r="G64" s="6" t="s">
        <v>49</v>
      </c>
      <c r="H64" s="6"/>
      <c r="I64" s="6"/>
    </row>
    <row r="65" spans="7:9" x14ac:dyDescent="0.35">
      <c r="G65" s="6"/>
      <c r="H65" s="6" t="s">
        <v>48</v>
      </c>
      <c r="I65" s="6">
        <v>20</v>
      </c>
    </row>
    <row r="66" spans="7:9" x14ac:dyDescent="0.35">
      <c r="G66" s="6"/>
      <c r="H66" s="6" t="s">
        <v>42</v>
      </c>
      <c r="I66" s="6">
        <f>'1. év'!I66*$O$21</f>
        <v>163909.04999999999</v>
      </c>
    </row>
    <row r="67" spans="7:9" x14ac:dyDescent="0.35">
      <c r="G67" s="6"/>
      <c r="H67" s="6" t="s">
        <v>43</v>
      </c>
      <c r="I67" s="6">
        <f>'1. év'!I67*$O$21</f>
        <v>21854.54</v>
      </c>
    </row>
    <row r="68" spans="7:9" x14ac:dyDescent="0.35">
      <c r="G68" s="6"/>
      <c r="H68" s="6" t="s">
        <v>34</v>
      </c>
      <c r="I68" s="6">
        <f>'1. év'!I68*$O$21</f>
        <v>546363.5</v>
      </c>
    </row>
    <row r="69" spans="7:9" x14ac:dyDescent="0.35">
      <c r="G69" s="6"/>
      <c r="H69" s="6" t="s">
        <v>45</v>
      </c>
      <c r="I69" s="6">
        <f>'1. év'!I69*$O$21</f>
        <v>109272.7</v>
      </c>
    </row>
    <row r="70" spans="7:9" x14ac:dyDescent="0.35">
      <c r="G70" s="6"/>
      <c r="H70" s="6" t="s">
        <v>51</v>
      </c>
      <c r="I70" s="6">
        <f>'1. év'!I70*$O$21</f>
        <v>109272.7</v>
      </c>
    </row>
    <row r="71" spans="7:9" x14ac:dyDescent="0.35">
      <c r="G71" s="6"/>
      <c r="H71" s="6" t="s">
        <v>46</v>
      </c>
      <c r="I71" s="6">
        <f>'1. év'!I71*$O$21</f>
        <v>32781.81</v>
      </c>
    </row>
    <row r="72" spans="7:9" x14ac:dyDescent="0.35">
      <c r="G72" s="6"/>
      <c r="H72" s="6" t="s">
        <v>47</v>
      </c>
      <c r="I72" s="6">
        <v>0</v>
      </c>
    </row>
    <row r="73" spans="7:9" x14ac:dyDescent="0.35">
      <c r="G73" s="6"/>
      <c r="H73" s="7" t="s">
        <v>56</v>
      </c>
      <c r="I73" s="7">
        <f>(I66+I67+I68+I69+I71+I70)*I72</f>
        <v>0</v>
      </c>
    </row>
  </sheetData>
  <mergeCells count="6">
    <mergeCell ref="A15:C15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selection activeCell="I43" sqref="I43"/>
    </sheetView>
  </sheetViews>
  <sheetFormatPr defaultRowHeight="14.5" x14ac:dyDescent="0.35"/>
  <cols>
    <col min="1" max="1" width="8.7265625" style="1"/>
    <col min="2" max="2" width="2.7265625" style="1" bestFit="1" customWidth="1"/>
    <col min="3" max="3" width="14.54296875" style="1" customWidth="1"/>
    <col min="4" max="4" width="15.453125" style="1" bestFit="1" customWidth="1"/>
    <col min="5" max="7" width="8.7265625" style="1"/>
    <col min="8" max="8" width="29.36328125" style="1" bestFit="1" customWidth="1"/>
    <col min="9" max="11" width="8.7265625" style="1"/>
    <col min="12" max="12" width="35.26953125" style="1" bestFit="1" customWidth="1"/>
    <col min="13" max="13" width="13.36328125" style="1" bestFit="1" customWidth="1"/>
    <col min="14" max="14" width="9.6328125" style="1" bestFit="1" customWidth="1"/>
    <col min="15" max="15" width="10.81640625" style="1" bestFit="1" customWidth="1"/>
    <col min="16" max="16384" width="8.7265625" style="1"/>
  </cols>
  <sheetData>
    <row r="1" spans="1:15" x14ac:dyDescent="0.35">
      <c r="G1" s="1">
        <v>5</v>
      </c>
      <c r="H1" s="1" t="s">
        <v>53</v>
      </c>
    </row>
    <row r="2" spans="1:15" x14ac:dyDescent="0.35">
      <c r="A2" s="2">
        <f>G1</f>
        <v>5</v>
      </c>
      <c r="B2" s="2" t="str">
        <f>H1</f>
        <v>év</v>
      </c>
      <c r="C2" s="2" t="s">
        <v>54</v>
      </c>
      <c r="G2" s="6" t="s">
        <v>0</v>
      </c>
      <c r="H2" s="6"/>
      <c r="I2" s="6"/>
      <c r="K2" s="6" t="s">
        <v>23</v>
      </c>
      <c r="L2" s="6"/>
      <c r="M2" s="6"/>
      <c r="N2" s="6"/>
      <c r="O2" s="6"/>
    </row>
    <row r="3" spans="1:15" x14ac:dyDescent="0.35">
      <c r="A3" s="30" t="s">
        <v>24</v>
      </c>
      <c r="B3" s="30"/>
      <c r="C3" s="30"/>
      <c r="D3" s="7" t="s">
        <v>63</v>
      </c>
      <c r="G3" s="6"/>
      <c r="H3" s="6" t="s">
        <v>61</v>
      </c>
      <c r="I3" s="6">
        <v>2</v>
      </c>
      <c r="K3" s="6"/>
      <c r="L3" s="11" t="s">
        <v>24</v>
      </c>
      <c r="M3" s="11" t="s">
        <v>25</v>
      </c>
      <c r="N3" s="11" t="s">
        <v>26</v>
      </c>
      <c r="O3" s="11" t="s">
        <v>27</v>
      </c>
    </row>
    <row r="4" spans="1:15" x14ac:dyDescent="0.35">
      <c r="A4" s="24" t="str">
        <f>G2</f>
        <v>Edzések magyarországi pályán</v>
      </c>
      <c r="B4" s="24"/>
      <c r="C4" s="24"/>
      <c r="D4" s="6">
        <f>I12</f>
        <v>765345.99080000003</v>
      </c>
      <c r="G4" s="6"/>
      <c r="H4" s="6" t="s">
        <v>62</v>
      </c>
      <c r="I4" s="6">
        <v>2</v>
      </c>
      <c r="K4" s="6"/>
      <c r="L4" s="8" t="s">
        <v>17</v>
      </c>
      <c r="M4" s="10">
        <v>19</v>
      </c>
      <c r="N4" s="6">
        <f>I23</f>
        <v>0</v>
      </c>
      <c r="O4" s="6">
        <f>M4*N4</f>
        <v>0</v>
      </c>
    </row>
    <row r="5" spans="1:15" x14ac:dyDescent="0.35">
      <c r="A5" s="24" t="str">
        <f>G14</f>
        <v>Transzfer délelőtti edzésekre</v>
      </c>
      <c r="B5" s="24"/>
      <c r="C5" s="24"/>
      <c r="D5" s="6">
        <f>I17</f>
        <v>3061383.9632000001</v>
      </c>
      <c r="G5" s="6"/>
      <c r="H5" s="6" t="s">
        <v>1</v>
      </c>
      <c r="I5" s="6">
        <v>2</v>
      </c>
      <c r="K5" s="6"/>
      <c r="L5" s="8" t="s">
        <v>18</v>
      </c>
      <c r="M5" s="10">
        <v>2</v>
      </c>
      <c r="N5" s="6">
        <f>0*O21</f>
        <v>0</v>
      </c>
      <c r="O5" s="6">
        <f>M5*N5</f>
        <v>0</v>
      </c>
    </row>
    <row r="6" spans="1:15" x14ac:dyDescent="0.35">
      <c r="A6" s="24" t="str">
        <f>G19</f>
        <v>Transzfer délutáni edzésekre</v>
      </c>
      <c r="B6" s="24"/>
      <c r="C6" s="24"/>
      <c r="D6" s="6">
        <f>I22</f>
        <v>765345.99080000003</v>
      </c>
      <c r="G6" s="6"/>
      <c r="H6" s="6" t="s">
        <v>2</v>
      </c>
      <c r="I6" s="6">
        <f>(I3+I4)*I5</f>
        <v>8</v>
      </c>
      <c r="K6" s="6"/>
      <c r="L6" s="8" t="s">
        <v>19</v>
      </c>
      <c r="M6" s="10">
        <v>6</v>
      </c>
      <c r="N6" s="6">
        <f>'1. év'!N6*$O$21</f>
        <v>16882.632150000001</v>
      </c>
      <c r="O6" s="6">
        <f>M6*N6</f>
        <v>101295.7929</v>
      </c>
    </row>
    <row r="7" spans="1:15" x14ac:dyDescent="0.35">
      <c r="A7" s="24" t="str">
        <f>G24</f>
        <v>Edzők, tornatanárok díjazása</v>
      </c>
      <c r="B7" s="24"/>
      <c r="C7" s="24"/>
      <c r="D7" s="6">
        <f>I32</f>
        <v>9573015.1834550016</v>
      </c>
      <c r="G7" s="6"/>
      <c r="H7" s="6" t="s">
        <v>3</v>
      </c>
      <c r="I7" s="6">
        <v>34</v>
      </c>
      <c r="K7" s="6"/>
      <c r="L7" s="8" t="s">
        <v>20</v>
      </c>
      <c r="M7" s="10">
        <v>2</v>
      </c>
      <c r="N7" s="6">
        <f>'1. év'!N7*$O$21</f>
        <v>11255.088100000001</v>
      </c>
      <c r="O7" s="6">
        <f>M7*N7</f>
        <v>22510.176200000002</v>
      </c>
    </row>
    <row r="8" spans="1:15" x14ac:dyDescent="0.35">
      <c r="A8" s="13" t="str">
        <f>G34</f>
        <v>Házi bajnokság</v>
      </c>
      <c r="B8" s="13"/>
      <c r="C8" s="13"/>
      <c r="D8" s="6">
        <f>I37</f>
        <v>225101.76200000002</v>
      </c>
      <c r="G8" s="6"/>
      <c r="H8" s="6" t="s">
        <v>81</v>
      </c>
      <c r="I8" s="6">
        <f>I3*I7*I5</f>
        <v>136</v>
      </c>
      <c r="K8" s="6"/>
      <c r="L8" s="8" t="s">
        <v>21</v>
      </c>
      <c r="M8" s="10">
        <v>1</v>
      </c>
      <c r="N8" s="6">
        <f>'1. év'!N8*$O$21</f>
        <v>16882.632150000001</v>
      </c>
      <c r="O8" s="6">
        <f>M8*N8</f>
        <v>16882.632150000001</v>
      </c>
    </row>
    <row r="9" spans="1:15" x14ac:dyDescent="0.35">
      <c r="A9" s="13" t="str">
        <f>G39</f>
        <v>hazai Versenyek</v>
      </c>
      <c r="B9" s="13"/>
      <c r="C9" s="13"/>
      <c r="D9" s="6">
        <f>I43</f>
        <v>1406886.0125000002</v>
      </c>
      <c r="G9" s="6"/>
      <c r="H9" s="6" t="s">
        <v>82</v>
      </c>
      <c r="I9" s="6">
        <f>I4*I7*I5</f>
        <v>136</v>
      </c>
      <c r="K9" s="6"/>
      <c r="L9" s="8" t="s">
        <v>22</v>
      </c>
      <c r="M9" s="10">
        <v>4</v>
      </c>
      <c r="N9" s="6">
        <f>'1. év'!N9*$O$21</f>
        <v>14631.614530000003</v>
      </c>
      <c r="O9" s="6">
        <f t="shared" ref="O9" si="0">M9*N9</f>
        <v>58526.45812000001</v>
      </c>
    </row>
    <row r="10" spans="1:15" x14ac:dyDescent="0.35">
      <c r="A10" s="13" t="str">
        <f>G45</f>
        <v>Külföldi versenyek</v>
      </c>
      <c r="B10" s="13"/>
      <c r="C10" s="13"/>
      <c r="D10" s="6">
        <f>I52</f>
        <v>7293297.0888000019</v>
      </c>
      <c r="G10" s="6"/>
      <c r="H10" s="6" t="s">
        <v>84</v>
      </c>
      <c r="I10" s="6">
        <v>0</v>
      </c>
      <c r="K10" s="6"/>
      <c r="L10" s="8"/>
      <c r="M10" s="10"/>
      <c r="N10" s="6"/>
      <c r="O10" s="7">
        <f>SUM(O4:O9)</f>
        <v>199215.05937000003</v>
      </c>
    </row>
    <row r="11" spans="1:15" x14ac:dyDescent="0.35">
      <c r="A11" s="13" t="str">
        <f>G54</f>
        <v>Hazai edzőtábor</v>
      </c>
      <c r="B11" s="13"/>
      <c r="C11" s="13"/>
      <c r="D11" s="6">
        <f>I62</f>
        <v>844131.60750000004</v>
      </c>
      <c r="G11" s="6"/>
      <c r="H11" s="6" t="s">
        <v>83</v>
      </c>
      <c r="I11" s="6">
        <f>'1. év'!I11*$O$21</f>
        <v>5627.5440500000004</v>
      </c>
      <c r="L11"/>
      <c r="M11" s="4"/>
    </row>
    <row r="12" spans="1:15" x14ac:dyDescent="0.35">
      <c r="A12" s="13" t="str">
        <f>G64</f>
        <v>Külföldi edzőtábor</v>
      </c>
      <c r="B12" s="13"/>
      <c r="C12" s="13"/>
      <c r="D12" s="6">
        <f>I73</f>
        <v>0</v>
      </c>
      <c r="G12" s="6"/>
      <c r="H12" s="7" t="s">
        <v>4</v>
      </c>
      <c r="I12" s="7">
        <f>I8*I10+I9*I11</f>
        <v>765345.99080000003</v>
      </c>
      <c r="K12" s="6" t="s">
        <v>57</v>
      </c>
      <c r="L12" s="6"/>
      <c r="M12" s="6"/>
      <c r="N12" s="6"/>
      <c r="O12" s="6"/>
    </row>
    <row r="13" spans="1:15" x14ac:dyDescent="0.35">
      <c r="A13" s="13" t="str">
        <f>K2</f>
        <v>Elméleti oktatás</v>
      </c>
      <c r="B13" s="13"/>
      <c r="C13" s="13"/>
      <c r="D13" s="6">
        <f>O10</f>
        <v>199215.05937000003</v>
      </c>
      <c r="K13" s="6"/>
      <c r="L13" s="6" t="s">
        <v>28</v>
      </c>
      <c r="M13" s="6">
        <v>10</v>
      </c>
      <c r="N13" s="6">
        <f>'1. év'!N13*$O$21</f>
        <v>11255.088100000001</v>
      </c>
      <c r="O13" s="6">
        <f>N13*M13</f>
        <v>112550.88100000001</v>
      </c>
    </row>
    <row r="14" spans="1:15" x14ac:dyDescent="0.35">
      <c r="A14" s="13" t="str">
        <f>K12</f>
        <v>Egyéb szakemberek</v>
      </c>
      <c r="B14" s="13"/>
      <c r="C14" s="13"/>
      <c r="D14" s="6">
        <f>O18</f>
        <v>2532394.8224999998</v>
      </c>
      <c r="G14" s="6" t="s">
        <v>59</v>
      </c>
      <c r="H14" s="6"/>
      <c r="I14" s="6"/>
      <c r="K14" s="6"/>
      <c r="L14" s="6" t="s">
        <v>29</v>
      </c>
      <c r="M14" s="6">
        <v>10</v>
      </c>
      <c r="N14" s="6">
        <f>'1. év'!N14*$O$21</f>
        <v>16882.632150000001</v>
      </c>
      <c r="O14" s="6">
        <f>N14*M14</f>
        <v>168826.32150000002</v>
      </c>
    </row>
    <row r="15" spans="1:15" x14ac:dyDescent="0.35">
      <c r="A15" s="27" t="s">
        <v>16</v>
      </c>
      <c r="B15" s="28"/>
      <c r="C15" s="29"/>
      <c r="D15" s="12">
        <f>SUM(D4:D14)</f>
        <v>26666117.480925009</v>
      </c>
      <c r="G15" s="6"/>
      <c r="H15" s="6" t="s">
        <v>5</v>
      </c>
      <c r="I15" s="6">
        <f>'1. év'!I15*$O$21</f>
        <v>2251.0176200000001</v>
      </c>
      <c r="K15" s="6"/>
      <c r="L15" s="6" t="s">
        <v>58</v>
      </c>
      <c r="M15" s="6">
        <v>1</v>
      </c>
      <c r="N15" s="6">
        <f>'1. év'!N15*$O$21</f>
        <v>562754.40500000003</v>
      </c>
      <c r="O15" s="6">
        <f>N15*M15</f>
        <v>562754.40500000003</v>
      </c>
    </row>
    <row r="16" spans="1:15" x14ac:dyDescent="0.35">
      <c r="G16" s="6"/>
      <c r="H16" s="6" t="s">
        <v>6</v>
      </c>
      <c r="I16" s="6">
        <v>20</v>
      </c>
      <c r="K16" s="6"/>
      <c r="L16" s="6" t="s">
        <v>71</v>
      </c>
      <c r="M16" s="6">
        <v>2</v>
      </c>
      <c r="N16" s="6">
        <f>'1. év'!N16*$O$21</f>
        <v>562754.40500000003</v>
      </c>
      <c r="O16" s="6">
        <f>N16*M16</f>
        <v>1125508.81</v>
      </c>
    </row>
    <row r="17" spans="7:17" x14ac:dyDescent="0.35">
      <c r="G17" s="6"/>
      <c r="H17" s="7" t="s">
        <v>7</v>
      </c>
      <c r="I17" s="7">
        <f>I16*I15*I7*I3</f>
        <v>3061383.9632000001</v>
      </c>
      <c r="K17" s="6"/>
      <c r="L17" s="6" t="s">
        <v>87</v>
      </c>
      <c r="M17" s="6">
        <v>1</v>
      </c>
      <c r="N17" s="6">
        <f>'1. év'!N17*O21</f>
        <v>562754.40500000003</v>
      </c>
      <c r="O17" s="6">
        <f>N17*M17</f>
        <v>562754.40500000003</v>
      </c>
      <c r="P17" s="3"/>
      <c r="Q17"/>
    </row>
    <row r="18" spans="7:17" x14ac:dyDescent="0.35">
      <c r="K18" s="6"/>
      <c r="L18" s="6"/>
      <c r="M18" s="6"/>
      <c r="N18" s="6"/>
      <c r="O18" s="7">
        <f>SUM(O13:O17)</f>
        <v>2532394.8224999998</v>
      </c>
      <c r="Q18"/>
    </row>
    <row r="19" spans="7:17" x14ac:dyDescent="0.35">
      <c r="G19" s="6" t="s">
        <v>60</v>
      </c>
      <c r="H19" s="6"/>
      <c r="I19" s="6"/>
      <c r="Q19"/>
    </row>
    <row r="20" spans="7:17" x14ac:dyDescent="0.35">
      <c r="G20" s="6"/>
      <c r="H20" s="6" t="s">
        <v>5</v>
      </c>
      <c r="I20" s="6">
        <f>'1. év'!I20*$O$21</f>
        <v>562.75440500000002</v>
      </c>
      <c r="K20" s="6" t="s">
        <v>38</v>
      </c>
      <c r="L20" s="6"/>
      <c r="M20" s="6"/>
      <c r="N20" s="6"/>
      <c r="O20" s="8"/>
      <c r="Q20"/>
    </row>
    <row r="21" spans="7:17" x14ac:dyDescent="0.35">
      <c r="G21" s="6"/>
      <c r="H21" s="6" t="s">
        <v>6</v>
      </c>
      <c r="I21" s="6">
        <v>20</v>
      </c>
      <c r="K21" s="6"/>
      <c r="L21" s="6" t="s">
        <v>39</v>
      </c>
      <c r="M21" s="6"/>
      <c r="N21" s="6"/>
      <c r="O21" s="8">
        <f>'4. év'!O21*O22</f>
        <v>1.1255088100000001</v>
      </c>
      <c r="Q21"/>
    </row>
    <row r="22" spans="7:17" x14ac:dyDescent="0.35">
      <c r="G22" s="6"/>
      <c r="H22" s="7" t="s">
        <v>7</v>
      </c>
      <c r="I22" s="7">
        <f>I4*I7*I20*I21</f>
        <v>765345.99080000003</v>
      </c>
      <c r="O22">
        <f>'2. év'!O22</f>
        <v>1.03</v>
      </c>
      <c r="Q22"/>
    </row>
    <row r="23" spans="7:17" x14ac:dyDescent="0.35">
      <c r="Q23"/>
    </row>
    <row r="24" spans="7:17" x14ac:dyDescent="0.35">
      <c r="G24" s="6" t="s">
        <v>55</v>
      </c>
      <c r="H24" s="6"/>
      <c r="I24" s="6"/>
      <c r="L24" s="5" t="s">
        <v>52</v>
      </c>
      <c r="M24" s="2">
        <f>G1</f>
        <v>5</v>
      </c>
      <c r="N24" s="2" t="str">
        <f>H1</f>
        <v>év</v>
      </c>
      <c r="O24" s="2">
        <f>O18+O10+I12+I17+I32+I37+I43+I52+I62+I73+I22</f>
        <v>26666117.480925005</v>
      </c>
      <c r="Q24"/>
    </row>
    <row r="25" spans="7:17" x14ac:dyDescent="0.35">
      <c r="G25" s="6"/>
      <c r="H25" s="6" t="s">
        <v>11</v>
      </c>
      <c r="I25" s="6">
        <f>'1. év'!I25*$O$21</f>
        <v>5627.5440500000004</v>
      </c>
      <c r="O25"/>
    </row>
    <row r="26" spans="7:17" x14ac:dyDescent="0.35">
      <c r="G26" s="6"/>
      <c r="H26" s="6" t="s">
        <v>78</v>
      </c>
      <c r="I26" s="6">
        <v>3</v>
      </c>
    </row>
    <row r="27" spans="7:17" x14ac:dyDescent="0.35">
      <c r="G27" s="6"/>
      <c r="H27" s="6" t="s">
        <v>79</v>
      </c>
      <c r="I27" s="6">
        <v>1</v>
      </c>
    </row>
    <row r="28" spans="7:17" x14ac:dyDescent="0.35">
      <c r="G28" s="6"/>
      <c r="H28" s="6" t="s">
        <v>85</v>
      </c>
      <c r="I28" s="6">
        <f>'1. év'!I28*$O$21</f>
        <v>337652.64300000004</v>
      </c>
    </row>
    <row r="29" spans="7:17" x14ac:dyDescent="0.35">
      <c r="G29" s="6"/>
      <c r="H29" s="6" t="s">
        <v>80</v>
      </c>
      <c r="I29" s="6">
        <f>I28*12*1.33</f>
        <v>5388936.1822800012</v>
      </c>
    </row>
    <row r="30" spans="7:17" x14ac:dyDescent="0.35">
      <c r="G30" s="6"/>
      <c r="H30" s="6" t="s">
        <v>86</v>
      </c>
      <c r="I30" s="6">
        <f>'1. év'!I30*$O$21</f>
        <v>84413.16075000001</v>
      </c>
    </row>
    <row r="31" spans="7:17" x14ac:dyDescent="0.35">
      <c r="G31" s="6"/>
      <c r="H31" s="6" t="s">
        <v>12</v>
      </c>
      <c r="I31" s="6">
        <f>I30*10*1.33</f>
        <v>1122695.0379750002</v>
      </c>
    </row>
    <row r="32" spans="7:17" x14ac:dyDescent="0.35">
      <c r="G32" s="6"/>
      <c r="H32" s="7" t="s">
        <v>8</v>
      </c>
      <c r="I32" s="7">
        <f>I31+I29+I27*I25*I9+I8*I25*I26</f>
        <v>9573015.1834550016</v>
      </c>
    </row>
    <row r="34" spans="7:9" x14ac:dyDescent="0.35">
      <c r="G34" s="6" t="s">
        <v>13</v>
      </c>
      <c r="H34" s="6"/>
      <c r="I34" s="6"/>
    </row>
    <row r="35" spans="7:9" x14ac:dyDescent="0.35">
      <c r="G35" s="6"/>
      <c r="H35" s="6" t="s">
        <v>14</v>
      </c>
      <c r="I35" s="6">
        <f>'1. év'!I35*$O$21</f>
        <v>168826.32150000002</v>
      </c>
    </row>
    <row r="36" spans="7:9" x14ac:dyDescent="0.35">
      <c r="G36" s="6"/>
      <c r="H36" s="6" t="s">
        <v>15</v>
      </c>
      <c r="I36" s="6">
        <f>'1. év'!I36*$O$21</f>
        <v>56275.440500000004</v>
      </c>
    </row>
    <row r="37" spans="7:9" x14ac:dyDescent="0.35">
      <c r="G37" s="6"/>
      <c r="H37" s="7" t="s">
        <v>16</v>
      </c>
      <c r="I37" s="7">
        <f>I36+I35</f>
        <v>225101.76200000002</v>
      </c>
    </row>
    <row r="39" spans="7:9" x14ac:dyDescent="0.35">
      <c r="G39" s="6" t="s">
        <v>30</v>
      </c>
      <c r="H39" s="6"/>
      <c r="I39" s="6"/>
    </row>
    <row r="40" spans="7:9" x14ac:dyDescent="0.35">
      <c r="G40" s="6"/>
      <c r="H40" s="6" t="s">
        <v>9</v>
      </c>
      <c r="I40" s="6">
        <f>'1. év'!I40*$O$21</f>
        <v>56275.440500000004</v>
      </c>
    </row>
    <row r="41" spans="7:9" x14ac:dyDescent="0.35">
      <c r="G41" s="6"/>
      <c r="H41" s="6" t="s">
        <v>10</v>
      </c>
      <c r="I41" s="6">
        <v>5</v>
      </c>
    </row>
    <row r="42" spans="7:9" x14ac:dyDescent="0.35">
      <c r="G42" s="6"/>
      <c r="H42" s="6" t="s">
        <v>31</v>
      </c>
      <c r="I42" s="6">
        <v>5</v>
      </c>
    </row>
    <row r="43" spans="7:9" x14ac:dyDescent="0.35">
      <c r="G43" s="6"/>
      <c r="H43" s="7" t="s">
        <v>33</v>
      </c>
      <c r="I43" s="7">
        <f>I41*I40*I42</f>
        <v>1406886.0125000002</v>
      </c>
    </row>
    <row r="45" spans="7:9" x14ac:dyDescent="0.35">
      <c r="G45" s="6" t="s">
        <v>32</v>
      </c>
      <c r="H45" s="6"/>
      <c r="I45" s="6"/>
    </row>
    <row r="46" spans="7:9" x14ac:dyDescent="0.35">
      <c r="G46" s="6"/>
      <c r="H46" s="6" t="s">
        <v>9</v>
      </c>
      <c r="I46" s="6">
        <f>'1. év'!I46*$O$21</f>
        <v>135061.05720000001</v>
      </c>
    </row>
    <row r="47" spans="7:9" x14ac:dyDescent="0.35">
      <c r="G47" s="6"/>
      <c r="H47" s="6" t="s">
        <v>34</v>
      </c>
      <c r="I47" s="6">
        <f>'1. év'!I47*$O$21</f>
        <v>225101.76200000002</v>
      </c>
    </row>
    <row r="48" spans="7:9" x14ac:dyDescent="0.35">
      <c r="G48" s="6"/>
      <c r="H48" s="6" t="s">
        <v>35</v>
      </c>
      <c r="I48" s="6">
        <f>'1. év'!I48*$O$21</f>
        <v>337652.64300000004</v>
      </c>
    </row>
    <row r="49" spans="7:9" x14ac:dyDescent="0.35">
      <c r="G49" s="6"/>
      <c r="H49" s="6" t="s">
        <v>36</v>
      </c>
      <c r="I49" s="6">
        <f>'1. év'!I49*$O$21</f>
        <v>112550.88100000001</v>
      </c>
    </row>
    <row r="50" spans="7:9" x14ac:dyDescent="0.35">
      <c r="G50" s="6"/>
      <c r="H50" s="6" t="s">
        <v>10</v>
      </c>
      <c r="I50" s="6">
        <v>3</v>
      </c>
    </row>
    <row r="51" spans="7:9" x14ac:dyDescent="0.35">
      <c r="G51" s="6"/>
      <c r="H51" s="6" t="s">
        <v>50</v>
      </c>
      <c r="I51" s="6">
        <v>3</v>
      </c>
    </row>
    <row r="52" spans="7:9" x14ac:dyDescent="0.35">
      <c r="G52" s="6"/>
      <c r="H52" s="7" t="s">
        <v>37</v>
      </c>
      <c r="I52" s="7">
        <f>(I46+I47+I48+I49)*I50*I51</f>
        <v>7293297.0888000019</v>
      </c>
    </row>
    <row r="54" spans="7:9" x14ac:dyDescent="0.35">
      <c r="G54" s="6" t="s">
        <v>40</v>
      </c>
      <c r="H54" s="6"/>
      <c r="I54" s="6"/>
    </row>
    <row r="55" spans="7:9" x14ac:dyDescent="0.35">
      <c r="G55" s="6"/>
      <c r="H55" s="6" t="s">
        <v>48</v>
      </c>
      <c r="I55" s="6">
        <v>20</v>
      </c>
    </row>
    <row r="56" spans="7:9" x14ac:dyDescent="0.35">
      <c r="G56" s="6"/>
      <c r="H56" s="6" t="s">
        <v>42</v>
      </c>
      <c r="I56" s="6">
        <f>'1. év'!I56*$O$21</f>
        <v>168826.32150000002</v>
      </c>
    </row>
    <row r="57" spans="7:9" x14ac:dyDescent="0.35">
      <c r="G57" s="6"/>
      <c r="H57" s="6" t="s">
        <v>43</v>
      </c>
      <c r="I57" s="6">
        <f>'1. év'!I57*$O$21</f>
        <v>22510.176200000002</v>
      </c>
    </row>
    <row r="58" spans="7:9" x14ac:dyDescent="0.35">
      <c r="G58" s="6"/>
      <c r="H58" s="6" t="s">
        <v>44</v>
      </c>
      <c r="I58" s="6">
        <f>'1. év'!I58*$O$21</f>
        <v>22510.176200000002</v>
      </c>
    </row>
    <row r="59" spans="7:9" x14ac:dyDescent="0.35">
      <c r="G59" s="6"/>
      <c r="H59" s="6" t="s">
        <v>45</v>
      </c>
      <c r="I59" s="6">
        <f>'1. év'!I59*$O$21</f>
        <v>33765.264300000003</v>
      </c>
    </row>
    <row r="60" spans="7:9" x14ac:dyDescent="0.35">
      <c r="G60" s="6"/>
      <c r="H60" s="6" t="s">
        <v>46</v>
      </c>
      <c r="I60" s="6">
        <f>'1. év'!I60*$O$21</f>
        <v>33765.264300000003</v>
      </c>
    </row>
    <row r="61" spans="7:9" x14ac:dyDescent="0.35">
      <c r="G61" s="6"/>
      <c r="H61" s="6" t="s">
        <v>47</v>
      </c>
      <c r="I61" s="6">
        <v>3</v>
      </c>
    </row>
    <row r="62" spans="7:9" x14ac:dyDescent="0.35">
      <c r="G62" s="6"/>
      <c r="H62" s="7" t="s">
        <v>41</v>
      </c>
      <c r="I62" s="7">
        <f>(I56+I57+I58+I59+I60)*I61</f>
        <v>844131.60750000004</v>
      </c>
    </row>
    <row r="64" spans="7:9" x14ac:dyDescent="0.35">
      <c r="G64" s="6" t="s">
        <v>49</v>
      </c>
      <c r="H64" s="6"/>
      <c r="I64" s="6"/>
    </row>
    <row r="65" spans="7:9" x14ac:dyDescent="0.35">
      <c r="G65" s="6"/>
      <c r="H65" s="6" t="s">
        <v>48</v>
      </c>
      <c r="I65" s="6">
        <v>20</v>
      </c>
    </row>
    <row r="66" spans="7:9" x14ac:dyDescent="0.35">
      <c r="G66" s="6"/>
      <c r="H66" s="6" t="s">
        <v>42</v>
      </c>
      <c r="I66" s="6">
        <f>'1. év'!I66*$O$21</f>
        <v>168826.32150000002</v>
      </c>
    </row>
    <row r="67" spans="7:9" x14ac:dyDescent="0.35">
      <c r="G67" s="6"/>
      <c r="H67" s="6" t="s">
        <v>43</v>
      </c>
      <c r="I67" s="6">
        <f>'1. év'!I67*$O$21</f>
        <v>22510.176200000002</v>
      </c>
    </row>
    <row r="68" spans="7:9" x14ac:dyDescent="0.35">
      <c r="G68" s="6"/>
      <c r="H68" s="6" t="s">
        <v>34</v>
      </c>
      <c r="I68" s="6">
        <f>'1. év'!I68*$O$21</f>
        <v>562754.40500000003</v>
      </c>
    </row>
    <row r="69" spans="7:9" x14ac:dyDescent="0.35">
      <c r="G69" s="6"/>
      <c r="H69" s="6" t="s">
        <v>45</v>
      </c>
      <c r="I69" s="6">
        <f>'1. év'!I69*$O$21</f>
        <v>112550.88100000001</v>
      </c>
    </row>
    <row r="70" spans="7:9" x14ac:dyDescent="0.35">
      <c r="G70" s="6"/>
      <c r="H70" s="6" t="s">
        <v>51</v>
      </c>
      <c r="I70" s="6">
        <f>'1. év'!I70*$O$21</f>
        <v>112550.88100000001</v>
      </c>
    </row>
    <row r="71" spans="7:9" x14ac:dyDescent="0.35">
      <c r="G71" s="6"/>
      <c r="H71" s="6" t="s">
        <v>46</v>
      </c>
      <c r="I71" s="6">
        <f>'1. év'!I71*$O$21</f>
        <v>33765.264300000003</v>
      </c>
    </row>
    <row r="72" spans="7:9" x14ac:dyDescent="0.35">
      <c r="G72" s="6"/>
      <c r="H72" s="6" t="s">
        <v>47</v>
      </c>
      <c r="I72" s="6">
        <v>0</v>
      </c>
    </row>
    <row r="73" spans="7:9" x14ac:dyDescent="0.35">
      <c r="G73" s="6"/>
      <c r="H73" s="7" t="s">
        <v>56</v>
      </c>
      <c r="I73" s="7">
        <f>(I66+I67+I68+I69+I71+I70)*I72</f>
        <v>0</v>
      </c>
    </row>
  </sheetData>
  <mergeCells count="6">
    <mergeCell ref="A15:C15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selection activeCell="I43" sqref="I43"/>
    </sheetView>
  </sheetViews>
  <sheetFormatPr defaultRowHeight="14.5" x14ac:dyDescent="0.35"/>
  <cols>
    <col min="1" max="1" width="8.7265625" style="1"/>
    <col min="2" max="2" width="2.7265625" style="1" bestFit="1" customWidth="1"/>
    <col min="3" max="3" width="14.54296875" style="1" customWidth="1"/>
    <col min="4" max="4" width="15.453125" style="1" bestFit="1" customWidth="1"/>
    <col min="5" max="7" width="8.7265625" style="1"/>
    <col min="8" max="8" width="29.36328125" style="1" bestFit="1" customWidth="1"/>
    <col min="9" max="11" width="8.7265625" style="1"/>
    <col min="12" max="12" width="35.26953125" style="1" bestFit="1" customWidth="1"/>
    <col min="13" max="13" width="13.36328125" style="1" bestFit="1" customWidth="1"/>
    <col min="14" max="14" width="16.6328125" style="1" bestFit="1" customWidth="1"/>
    <col min="15" max="15" width="11.81640625" style="1" bestFit="1" customWidth="1"/>
    <col min="16" max="16384" width="8.7265625" style="1"/>
  </cols>
  <sheetData>
    <row r="1" spans="1:17" x14ac:dyDescent="0.35">
      <c r="G1" s="1">
        <v>6</v>
      </c>
      <c r="H1" s="1" t="s">
        <v>53</v>
      </c>
    </row>
    <row r="2" spans="1:17" x14ac:dyDescent="0.35">
      <c r="A2" s="2">
        <f>G1</f>
        <v>6</v>
      </c>
      <c r="B2" s="2" t="str">
        <f>H1</f>
        <v>év</v>
      </c>
      <c r="C2" s="2" t="s">
        <v>54</v>
      </c>
      <c r="G2" s="6" t="s">
        <v>0</v>
      </c>
      <c r="H2" s="6"/>
      <c r="I2" s="6"/>
      <c r="K2" s="6" t="s">
        <v>23</v>
      </c>
      <c r="L2" s="6"/>
      <c r="M2" s="6"/>
      <c r="N2" s="6"/>
      <c r="O2" s="6"/>
    </row>
    <row r="3" spans="1:17" x14ac:dyDescent="0.35">
      <c r="A3" s="30" t="s">
        <v>24</v>
      </c>
      <c r="B3" s="30"/>
      <c r="C3" s="30"/>
      <c r="D3" s="7" t="s">
        <v>63</v>
      </c>
      <c r="G3" s="6"/>
      <c r="H3" s="6" t="s">
        <v>61</v>
      </c>
      <c r="I3" s="6">
        <v>2</v>
      </c>
      <c r="K3" s="6"/>
      <c r="L3" s="11" t="s">
        <v>24</v>
      </c>
      <c r="M3" s="11" t="s">
        <v>25</v>
      </c>
      <c r="N3" s="11" t="s">
        <v>72</v>
      </c>
      <c r="O3" s="11" t="s">
        <v>27</v>
      </c>
    </row>
    <row r="4" spans="1:17" x14ac:dyDescent="0.35">
      <c r="A4" s="24" t="str">
        <f>G2</f>
        <v>Edzések magyarországi pályán</v>
      </c>
      <c r="B4" s="24"/>
      <c r="C4" s="24"/>
      <c r="D4" s="6">
        <f>I12</f>
        <v>788306.37052400003</v>
      </c>
      <c r="G4" s="6"/>
      <c r="H4" s="6" t="s">
        <v>62</v>
      </c>
      <c r="I4" s="6">
        <v>2</v>
      </c>
      <c r="K4" s="6"/>
      <c r="L4" s="8" t="s">
        <v>17</v>
      </c>
      <c r="M4" s="10">
        <v>13</v>
      </c>
      <c r="N4" s="6">
        <f>I23</f>
        <v>0</v>
      </c>
      <c r="O4" s="6">
        <f>M4*N4</f>
        <v>0</v>
      </c>
      <c r="Q4" s="3"/>
    </row>
    <row r="5" spans="1:17" x14ac:dyDescent="0.35">
      <c r="A5" s="24" t="str">
        <f>G14</f>
        <v>Transzfer délelőtti edzésekre</v>
      </c>
      <c r="B5" s="24"/>
      <c r="C5" s="24"/>
      <c r="D5" s="6">
        <f>I17</f>
        <v>3153225.4820960006</v>
      </c>
      <c r="G5" s="6"/>
      <c r="H5" s="6" t="s">
        <v>1</v>
      </c>
      <c r="I5" s="6">
        <v>2</v>
      </c>
      <c r="K5" s="6"/>
      <c r="L5" s="8" t="s">
        <v>18</v>
      </c>
      <c r="M5" s="10">
        <v>2</v>
      </c>
      <c r="N5" s="6">
        <f>0*O21</f>
        <v>0</v>
      </c>
      <c r="O5" s="6">
        <f>M5*N5</f>
        <v>0</v>
      </c>
      <c r="Q5" s="3"/>
    </row>
    <row r="6" spans="1:17" x14ac:dyDescent="0.35">
      <c r="A6" s="24" t="str">
        <f>G19</f>
        <v>Transzfer délutáni edzésekre</v>
      </c>
      <c r="B6" s="24"/>
      <c r="C6" s="24"/>
      <c r="D6" s="6">
        <f>I22</f>
        <v>788306.37052400014</v>
      </c>
      <c r="G6" s="6"/>
      <c r="H6" s="6" t="s">
        <v>2</v>
      </c>
      <c r="I6" s="6">
        <f>(I3+I4)*I5</f>
        <v>8</v>
      </c>
      <c r="K6" s="6"/>
      <c r="L6" s="8" t="s">
        <v>19</v>
      </c>
      <c r="M6" s="10">
        <v>6</v>
      </c>
      <c r="N6" s="6">
        <f>'1. év'!N6*$O$21</f>
        <v>17389.1111145</v>
      </c>
      <c r="O6" s="6">
        <f>M6*N6</f>
        <v>104334.66668699999</v>
      </c>
      <c r="Q6" s="3"/>
    </row>
    <row r="7" spans="1:17" x14ac:dyDescent="0.35">
      <c r="A7" s="24" t="str">
        <f>G24</f>
        <v>Edzők, tornatanárok díjazása</v>
      </c>
      <c r="B7" s="24"/>
      <c r="C7" s="24"/>
      <c r="D7" s="6">
        <f>I32</f>
        <v>9860205.6389586516</v>
      </c>
      <c r="G7" s="6"/>
      <c r="H7" s="6" t="s">
        <v>3</v>
      </c>
      <c r="I7" s="6">
        <v>34</v>
      </c>
      <c r="K7" s="6"/>
      <c r="L7" s="8" t="s">
        <v>20</v>
      </c>
      <c r="M7" s="10">
        <v>2</v>
      </c>
      <c r="N7" s="6">
        <f>'1. év'!N7*$O$21</f>
        <v>11592.740743</v>
      </c>
      <c r="O7" s="6">
        <f>M7*N7</f>
        <v>23185.481486000001</v>
      </c>
      <c r="Q7" s="3"/>
    </row>
    <row r="8" spans="1:17" x14ac:dyDescent="0.35">
      <c r="A8" s="13" t="str">
        <f>G34</f>
        <v>Házi bajnokság</v>
      </c>
      <c r="B8" s="13"/>
      <c r="C8" s="13"/>
      <c r="D8" s="6">
        <f>I37</f>
        <v>231854.81486000001</v>
      </c>
      <c r="G8" s="6"/>
      <c r="H8" s="6" t="s">
        <v>81</v>
      </c>
      <c r="I8" s="6">
        <f>I3*I7*I5</f>
        <v>136</v>
      </c>
      <c r="K8" s="6"/>
      <c r="L8" s="8" t="s">
        <v>21</v>
      </c>
      <c r="M8" s="10">
        <v>1</v>
      </c>
      <c r="N8" s="6">
        <f>'1. év'!N8*$O$21</f>
        <v>17389.1111145</v>
      </c>
      <c r="O8" s="6">
        <f>M8*N8</f>
        <v>17389.1111145</v>
      </c>
      <c r="Q8" s="3"/>
    </row>
    <row r="9" spans="1:17" x14ac:dyDescent="0.35">
      <c r="A9" s="13" t="str">
        <f>G39</f>
        <v>hazai Versenyek</v>
      </c>
      <c r="B9" s="13"/>
      <c r="C9" s="13"/>
      <c r="D9" s="6">
        <f>I43</f>
        <v>1449092.5928750001</v>
      </c>
      <c r="G9" s="6"/>
      <c r="H9" s="6" t="s">
        <v>82</v>
      </c>
      <c r="I9" s="6">
        <f>I4*I7*I5</f>
        <v>136</v>
      </c>
      <c r="K9" s="6"/>
      <c r="L9" s="8" t="s">
        <v>22</v>
      </c>
      <c r="M9" s="10">
        <v>4</v>
      </c>
      <c r="N9" s="6">
        <f>'1. év'!N9*$O$21</f>
        <v>15070.562965900001</v>
      </c>
      <c r="O9" s="6">
        <f t="shared" ref="O9" si="0">M9*N9</f>
        <v>60282.251863600002</v>
      </c>
      <c r="Q9" s="3"/>
    </row>
    <row r="10" spans="1:17" x14ac:dyDescent="0.35">
      <c r="A10" s="13" t="str">
        <f>G45</f>
        <v>Külföldi versenyek</v>
      </c>
      <c r="B10" s="13"/>
      <c r="C10" s="13"/>
      <c r="D10" s="6">
        <f>I52</f>
        <v>7512096.001464</v>
      </c>
      <c r="G10" s="6"/>
      <c r="H10" s="6" t="s">
        <v>84</v>
      </c>
      <c r="I10" s="6">
        <v>0</v>
      </c>
      <c r="K10" s="6"/>
      <c r="L10" s="8"/>
      <c r="M10" s="10"/>
      <c r="N10" s="6"/>
      <c r="O10" s="7">
        <f>SUM(O4:O9)</f>
        <v>205191.51115109998</v>
      </c>
      <c r="Q10" s="3"/>
    </row>
    <row r="11" spans="1:17" x14ac:dyDescent="0.35">
      <c r="A11" s="13" t="str">
        <f>G54</f>
        <v>Hazai edzőtábor</v>
      </c>
      <c r="B11" s="13"/>
      <c r="C11" s="13"/>
      <c r="D11" s="6">
        <f>I62</f>
        <v>869455.55572499998</v>
      </c>
      <c r="G11" s="6"/>
      <c r="H11" s="6" t="s">
        <v>83</v>
      </c>
      <c r="I11" s="6">
        <f>'1. év'!I11*$O$21</f>
        <v>5796.3703715000001</v>
      </c>
      <c r="L11"/>
      <c r="M11" s="4"/>
    </row>
    <row r="12" spans="1:17" x14ac:dyDescent="0.35">
      <c r="A12" s="13" t="str">
        <f>G64</f>
        <v>Külföldi edzőtábor</v>
      </c>
      <c r="B12" s="13"/>
      <c r="C12" s="13"/>
      <c r="D12" s="6">
        <f>I73</f>
        <v>4173386.6674799998</v>
      </c>
      <c r="G12" s="6"/>
      <c r="H12" s="7" t="s">
        <v>4</v>
      </c>
      <c r="I12" s="7">
        <f>I8*I10+I9*I11</f>
        <v>788306.37052400003</v>
      </c>
      <c r="K12" s="6" t="s">
        <v>57</v>
      </c>
      <c r="L12" s="6"/>
      <c r="M12" s="6"/>
      <c r="N12" s="6"/>
      <c r="O12" s="6"/>
    </row>
    <row r="13" spans="1:17" x14ac:dyDescent="0.35">
      <c r="A13" s="13" t="str">
        <f>K2</f>
        <v>Elméleti oktatás</v>
      </c>
      <c r="B13" s="13"/>
      <c r="C13" s="13"/>
      <c r="D13" s="6">
        <f>O10</f>
        <v>205191.51115109998</v>
      </c>
      <c r="K13" s="6"/>
      <c r="L13" s="6" t="s">
        <v>28</v>
      </c>
      <c r="M13" s="6">
        <v>10</v>
      </c>
      <c r="N13" s="6">
        <f>'1. év'!N13*$O$21</f>
        <v>11592.740743</v>
      </c>
      <c r="O13" s="6">
        <f>N13*M13</f>
        <v>115927.40743000001</v>
      </c>
    </row>
    <row r="14" spans="1:17" x14ac:dyDescent="0.35">
      <c r="A14" s="13" t="str">
        <f>K12</f>
        <v>Egyéb szakemberek</v>
      </c>
      <c r="B14" s="13"/>
      <c r="C14" s="13"/>
      <c r="D14" s="6">
        <f>O18</f>
        <v>3188003.7043249998</v>
      </c>
      <c r="G14" s="6" t="s">
        <v>59</v>
      </c>
      <c r="H14" s="6"/>
      <c r="I14" s="6"/>
      <c r="K14" s="6"/>
      <c r="L14" s="6" t="s">
        <v>29</v>
      </c>
      <c r="M14" s="6">
        <v>10</v>
      </c>
      <c r="N14" s="6">
        <f>'1. év'!N14*$O$21</f>
        <v>17389.1111145</v>
      </c>
      <c r="O14" s="6">
        <f>N14*M14</f>
        <v>173891.111145</v>
      </c>
    </row>
    <row r="15" spans="1:17" x14ac:dyDescent="0.35">
      <c r="A15" s="27" t="s">
        <v>16</v>
      </c>
      <c r="B15" s="28"/>
      <c r="C15" s="29"/>
      <c r="D15" s="12">
        <f>SUM(D4:D14)</f>
        <v>32219124.709982753</v>
      </c>
      <c r="G15" s="6"/>
      <c r="H15" s="6" t="s">
        <v>5</v>
      </c>
      <c r="I15" s="6">
        <f>'1. év'!I15*$O$21</f>
        <v>2318.5481486000003</v>
      </c>
      <c r="K15" s="6"/>
      <c r="L15" s="6" t="s">
        <v>58</v>
      </c>
      <c r="M15" s="6">
        <v>1</v>
      </c>
      <c r="N15" s="6">
        <f>'1. év'!N15*$O$21</f>
        <v>579637.03714999999</v>
      </c>
      <c r="O15" s="6">
        <f>N15*M15</f>
        <v>579637.03714999999</v>
      </c>
    </row>
    <row r="16" spans="1:17" x14ac:dyDescent="0.35">
      <c r="G16" s="6"/>
      <c r="H16" s="6" t="s">
        <v>6</v>
      </c>
      <c r="I16" s="6">
        <v>20</v>
      </c>
      <c r="K16" s="6"/>
      <c r="L16" s="6" t="s">
        <v>71</v>
      </c>
      <c r="M16" s="6">
        <v>2</v>
      </c>
      <c r="N16" s="6">
        <f>'1. év'!N16*$O$21</f>
        <v>579637.03714999999</v>
      </c>
      <c r="O16" s="6">
        <f>N16*M16</f>
        <v>1159274.0743</v>
      </c>
    </row>
    <row r="17" spans="7:17" x14ac:dyDescent="0.35">
      <c r="G17" s="6"/>
      <c r="H17" s="7" t="s">
        <v>7</v>
      </c>
      <c r="I17" s="7">
        <f>I16*I15*I7*I3</f>
        <v>3153225.4820960006</v>
      </c>
      <c r="K17" s="6"/>
      <c r="L17" s="6" t="s">
        <v>87</v>
      </c>
      <c r="M17" s="6">
        <v>2</v>
      </c>
      <c r="N17" s="6">
        <f>'1. év'!N17*O21</f>
        <v>579637.03714999999</v>
      </c>
      <c r="O17" s="6">
        <f>N17*M17</f>
        <v>1159274.0743</v>
      </c>
      <c r="P17" s="3"/>
      <c r="Q17"/>
    </row>
    <row r="18" spans="7:17" x14ac:dyDescent="0.35">
      <c r="K18" s="6"/>
      <c r="L18" s="6"/>
      <c r="M18" s="6"/>
      <c r="N18" s="6"/>
      <c r="O18" s="7">
        <f>SUM(O13:O17)</f>
        <v>3188003.7043249998</v>
      </c>
      <c r="Q18"/>
    </row>
    <row r="19" spans="7:17" x14ac:dyDescent="0.35">
      <c r="G19" s="6" t="s">
        <v>60</v>
      </c>
      <c r="H19" s="6"/>
      <c r="I19" s="6"/>
      <c r="Q19"/>
    </row>
    <row r="20" spans="7:17" x14ac:dyDescent="0.35">
      <c r="G20" s="6"/>
      <c r="H20" s="6" t="s">
        <v>5</v>
      </c>
      <c r="I20" s="6">
        <f>'1. év'!I20*$O$21</f>
        <v>579.63703715000008</v>
      </c>
      <c r="K20" s="6" t="s">
        <v>38</v>
      </c>
      <c r="L20" s="6"/>
      <c r="M20" s="6"/>
      <c r="N20" s="6"/>
      <c r="O20" s="8"/>
      <c r="Q20"/>
    </row>
    <row r="21" spans="7:17" x14ac:dyDescent="0.35">
      <c r="G21" s="6"/>
      <c r="H21" s="6" t="s">
        <v>6</v>
      </c>
      <c r="I21" s="6">
        <v>20</v>
      </c>
      <c r="K21" s="6"/>
      <c r="L21" s="6" t="s">
        <v>39</v>
      </c>
      <c r="M21" s="6"/>
      <c r="N21" s="6"/>
      <c r="O21" s="8">
        <f>'5. év'!O21*O22</f>
        <v>1.1592740743000001</v>
      </c>
      <c r="Q21"/>
    </row>
    <row r="22" spans="7:17" x14ac:dyDescent="0.35">
      <c r="G22" s="6"/>
      <c r="H22" s="7" t="s">
        <v>7</v>
      </c>
      <c r="I22" s="7">
        <f>I4*I7*I20*I21</f>
        <v>788306.37052400014</v>
      </c>
      <c r="O22">
        <f>'2. év'!O22</f>
        <v>1.03</v>
      </c>
      <c r="Q22"/>
    </row>
    <row r="23" spans="7:17" x14ac:dyDescent="0.35">
      <c r="Q23"/>
    </row>
    <row r="24" spans="7:17" x14ac:dyDescent="0.35">
      <c r="G24" s="6" t="s">
        <v>55</v>
      </c>
      <c r="H24" s="6"/>
      <c r="I24" s="6"/>
      <c r="L24" s="5" t="s">
        <v>52</v>
      </c>
      <c r="M24" s="2">
        <f>G1</f>
        <v>6</v>
      </c>
      <c r="N24" s="2" t="str">
        <f>H1</f>
        <v>év</v>
      </c>
      <c r="O24" s="2">
        <f>O18+O10+I12+I17+I32+I37+I43+I52+I62+I73+I22</f>
        <v>32219124.709982757</v>
      </c>
      <c r="Q24"/>
    </row>
    <row r="25" spans="7:17" x14ac:dyDescent="0.35">
      <c r="G25" s="6"/>
      <c r="H25" s="6" t="s">
        <v>11</v>
      </c>
      <c r="I25" s="6">
        <f>'1. év'!I25*$O$21</f>
        <v>5796.3703715000001</v>
      </c>
    </row>
    <row r="26" spans="7:17" x14ac:dyDescent="0.35">
      <c r="G26" s="6"/>
      <c r="H26" s="6" t="s">
        <v>78</v>
      </c>
      <c r="I26" s="6">
        <v>3</v>
      </c>
    </row>
    <row r="27" spans="7:17" x14ac:dyDescent="0.35">
      <c r="G27" s="6"/>
      <c r="H27" s="6" t="s">
        <v>79</v>
      </c>
      <c r="I27" s="6">
        <v>1</v>
      </c>
    </row>
    <row r="28" spans="7:17" x14ac:dyDescent="0.35">
      <c r="G28" s="6"/>
      <c r="H28" s="6" t="s">
        <v>85</v>
      </c>
      <c r="I28" s="6">
        <f>'1. év'!I28*$O$21</f>
        <v>347782.22229000001</v>
      </c>
    </row>
    <row r="29" spans="7:17" x14ac:dyDescent="0.35">
      <c r="G29" s="6"/>
      <c r="H29" s="6" t="s">
        <v>80</v>
      </c>
      <c r="I29" s="6">
        <f>I28*12*1.33</f>
        <v>5550604.2677484006</v>
      </c>
    </row>
    <row r="30" spans="7:17" x14ac:dyDescent="0.35">
      <c r="G30" s="6"/>
      <c r="H30" s="6" t="s">
        <v>86</v>
      </c>
      <c r="I30" s="6">
        <f>'1. év'!I30*$O$21</f>
        <v>86945.555572500001</v>
      </c>
    </row>
    <row r="31" spans="7:17" x14ac:dyDescent="0.35">
      <c r="G31" s="6"/>
      <c r="H31" s="6" t="s">
        <v>12</v>
      </c>
      <c r="I31" s="6">
        <f>I30*10*1.33</f>
        <v>1156375.88911425</v>
      </c>
    </row>
    <row r="32" spans="7:17" x14ac:dyDescent="0.35">
      <c r="G32" s="6"/>
      <c r="H32" s="7" t="s">
        <v>8</v>
      </c>
      <c r="I32" s="7">
        <f>I31+I29+I27*I25*I9+I8*I25*I26</f>
        <v>9860205.6389586516</v>
      </c>
    </row>
    <row r="34" spans="7:9" x14ac:dyDescent="0.35">
      <c r="G34" s="6" t="s">
        <v>13</v>
      </c>
      <c r="H34" s="6"/>
      <c r="I34" s="6"/>
    </row>
    <row r="35" spans="7:9" x14ac:dyDescent="0.35">
      <c r="G35" s="6"/>
      <c r="H35" s="6" t="s">
        <v>14</v>
      </c>
      <c r="I35" s="6">
        <f>'1. év'!I35*$O$21</f>
        <v>173891.111145</v>
      </c>
    </row>
    <row r="36" spans="7:9" x14ac:dyDescent="0.35">
      <c r="G36" s="6"/>
      <c r="H36" s="6" t="s">
        <v>15</v>
      </c>
      <c r="I36" s="6">
        <f>'1. év'!I36*$O$21</f>
        <v>57963.703715000003</v>
      </c>
    </row>
    <row r="37" spans="7:9" x14ac:dyDescent="0.35">
      <c r="G37" s="6"/>
      <c r="H37" s="7" t="s">
        <v>16</v>
      </c>
      <c r="I37" s="7">
        <f>I36+I35</f>
        <v>231854.81486000001</v>
      </c>
    </row>
    <row r="39" spans="7:9" x14ac:dyDescent="0.35">
      <c r="G39" s="6" t="s">
        <v>30</v>
      </c>
      <c r="H39" s="6"/>
      <c r="I39" s="6"/>
    </row>
    <row r="40" spans="7:9" x14ac:dyDescent="0.35">
      <c r="G40" s="6"/>
      <c r="H40" s="6" t="s">
        <v>9</v>
      </c>
      <c r="I40" s="6">
        <f>'1. év'!I40*$O$21</f>
        <v>57963.703715000003</v>
      </c>
    </row>
    <row r="41" spans="7:9" x14ac:dyDescent="0.35">
      <c r="G41" s="6"/>
      <c r="H41" s="6" t="s">
        <v>10</v>
      </c>
      <c r="I41" s="6">
        <v>5</v>
      </c>
    </row>
    <row r="42" spans="7:9" x14ac:dyDescent="0.35">
      <c r="G42" s="6"/>
      <c r="H42" s="6" t="s">
        <v>31</v>
      </c>
      <c r="I42" s="6">
        <v>5</v>
      </c>
    </row>
    <row r="43" spans="7:9" x14ac:dyDescent="0.35">
      <c r="G43" s="6"/>
      <c r="H43" s="7" t="s">
        <v>33</v>
      </c>
      <c r="I43" s="7">
        <f>I41*I40*I42</f>
        <v>1449092.5928750001</v>
      </c>
    </row>
    <row r="45" spans="7:9" x14ac:dyDescent="0.35">
      <c r="G45" s="6" t="s">
        <v>32</v>
      </c>
      <c r="H45" s="6"/>
      <c r="I45" s="6"/>
    </row>
    <row r="46" spans="7:9" x14ac:dyDescent="0.35">
      <c r="G46" s="6"/>
      <c r="H46" s="6" t="s">
        <v>9</v>
      </c>
      <c r="I46" s="6">
        <f>'1. év'!I46*$O$21</f>
        <v>139112.888916</v>
      </c>
    </row>
    <row r="47" spans="7:9" x14ac:dyDescent="0.35">
      <c r="G47" s="6"/>
      <c r="H47" s="6" t="s">
        <v>34</v>
      </c>
      <c r="I47" s="6">
        <f>'1. év'!I47*$O$21</f>
        <v>231854.81486000001</v>
      </c>
    </row>
    <row r="48" spans="7:9" x14ac:dyDescent="0.35">
      <c r="G48" s="6"/>
      <c r="H48" s="6" t="s">
        <v>35</v>
      </c>
      <c r="I48" s="6">
        <f>'1. év'!I48*$O$21</f>
        <v>347782.22229000001</v>
      </c>
    </row>
    <row r="49" spans="7:9" x14ac:dyDescent="0.35">
      <c r="G49" s="6"/>
      <c r="H49" s="6" t="s">
        <v>36</v>
      </c>
      <c r="I49" s="6">
        <f>'1. év'!I49*$O$21</f>
        <v>115927.40743000001</v>
      </c>
    </row>
    <row r="50" spans="7:9" x14ac:dyDescent="0.35">
      <c r="G50" s="6"/>
      <c r="H50" s="6" t="s">
        <v>10</v>
      </c>
      <c r="I50" s="6">
        <v>3</v>
      </c>
    </row>
    <row r="51" spans="7:9" x14ac:dyDescent="0.35">
      <c r="G51" s="6"/>
      <c r="H51" s="6" t="s">
        <v>50</v>
      </c>
      <c r="I51" s="6">
        <v>3</v>
      </c>
    </row>
    <row r="52" spans="7:9" x14ac:dyDescent="0.35">
      <c r="G52" s="6"/>
      <c r="H52" s="7" t="s">
        <v>37</v>
      </c>
      <c r="I52" s="7">
        <f>(I46+I47+I48+I49)*I50*I51</f>
        <v>7512096.001464</v>
      </c>
    </row>
    <row r="54" spans="7:9" x14ac:dyDescent="0.35">
      <c r="G54" s="6" t="s">
        <v>40</v>
      </c>
      <c r="H54" s="6"/>
      <c r="I54" s="6"/>
    </row>
    <row r="55" spans="7:9" x14ac:dyDescent="0.35">
      <c r="G55" s="6"/>
      <c r="H55" s="6" t="s">
        <v>48</v>
      </c>
      <c r="I55" s="6">
        <v>20</v>
      </c>
    </row>
    <row r="56" spans="7:9" x14ac:dyDescent="0.35">
      <c r="G56" s="6"/>
      <c r="H56" s="6" t="s">
        <v>42</v>
      </c>
      <c r="I56" s="6">
        <f>'1. év'!I56*$O$21</f>
        <v>173891.111145</v>
      </c>
    </row>
    <row r="57" spans="7:9" x14ac:dyDescent="0.35">
      <c r="G57" s="6"/>
      <c r="H57" s="6" t="s">
        <v>43</v>
      </c>
      <c r="I57" s="6">
        <f>'1. év'!I57*$O$21</f>
        <v>23185.481486000001</v>
      </c>
    </row>
    <row r="58" spans="7:9" x14ac:dyDescent="0.35">
      <c r="G58" s="6"/>
      <c r="H58" s="6" t="s">
        <v>44</v>
      </c>
      <c r="I58" s="6">
        <f>'1. év'!I58*$O$21</f>
        <v>23185.481486000001</v>
      </c>
    </row>
    <row r="59" spans="7:9" x14ac:dyDescent="0.35">
      <c r="G59" s="6"/>
      <c r="H59" s="6" t="s">
        <v>45</v>
      </c>
      <c r="I59" s="6">
        <f>'1. év'!I59*$O$21</f>
        <v>34778.222228999999</v>
      </c>
    </row>
    <row r="60" spans="7:9" x14ac:dyDescent="0.35">
      <c r="G60" s="6"/>
      <c r="H60" s="6" t="s">
        <v>46</v>
      </c>
      <c r="I60" s="6">
        <f>'1. év'!I60*$O$21</f>
        <v>34778.222228999999</v>
      </c>
    </row>
    <row r="61" spans="7:9" x14ac:dyDescent="0.35">
      <c r="G61" s="6"/>
      <c r="H61" s="6" t="s">
        <v>47</v>
      </c>
      <c r="I61" s="6">
        <v>3</v>
      </c>
    </row>
    <row r="62" spans="7:9" x14ac:dyDescent="0.35">
      <c r="G62" s="6"/>
      <c r="H62" s="7" t="s">
        <v>41</v>
      </c>
      <c r="I62" s="7">
        <f>(I56+I57+I58+I59+I60)*I61</f>
        <v>869455.55572499998</v>
      </c>
    </row>
    <row r="64" spans="7:9" x14ac:dyDescent="0.35">
      <c r="G64" s="6" t="s">
        <v>49</v>
      </c>
      <c r="H64" s="6"/>
      <c r="I64" s="6"/>
    </row>
    <row r="65" spans="7:9" x14ac:dyDescent="0.35">
      <c r="G65" s="6"/>
      <c r="H65" s="6" t="s">
        <v>48</v>
      </c>
      <c r="I65" s="6">
        <v>20</v>
      </c>
    </row>
    <row r="66" spans="7:9" x14ac:dyDescent="0.35">
      <c r="G66" s="6"/>
      <c r="H66" s="6" t="s">
        <v>42</v>
      </c>
      <c r="I66" s="6">
        <f>'1. év'!I66*$O$21</f>
        <v>173891.111145</v>
      </c>
    </row>
    <row r="67" spans="7:9" x14ac:dyDescent="0.35">
      <c r="G67" s="6"/>
      <c r="H67" s="6" t="s">
        <v>43</v>
      </c>
      <c r="I67" s="6">
        <f>'1. év'!I67*$O$21</f>
        <v>23185.481486000001</v>
      </c>
    </row>
    <row r="68" spans="7:9" x14ac:dyDescent="0.35">
      <c r="G68" s="6"/>
      <c r="H68" s="6" t="s">
        <v>34</v>
      </c>
      <c r="I68" s="6">
        <f>'1. év'!I68*$O$21</f>
        <v>579637.03714999999</v>
      </c>
    </row>
    <row r="69" spans="7:9" x14ac:dyDescent="0.35">
      <c r="G69" s="6"/>
      <c r="H69" s="6" t="s">
        <v>45</v>
      </c>
      <c r="I69" s="6">
        <f>'1. év'!I69*$O$21</f>
        <v>115927.40743000001</v>
      </c>
    </row>
    <row r="70" spans="7:9" x14ac:dyDescent="0.35">
      <c r="G70" s="6"/>
      <c r="H70" s="6" t="s">
        <v>51</v>
      </c>
      <c r="I70" s="6">
        <f>'1. év'!I70*$O$21</f>
        <v>115927.40743000001</v>
      </c>
    </row>
    <row r="71" spans="7:9" x14ac:dyDescent="0.35">
      <c r="G71" s="6"/>
      <c r="H71" s="6" t="s">
        <v>46</v>
      </c>
      <c r="I71" s="6">
        <f>'1. év'!I71*$O$21</f>
        <v>34778.222228999999</v>
      </c>
    </row>
    <row r="72" spans="7:9" x14ac:dyDescent="0.35">
      <c r="G72" s="6"/>
      <c r="H72" s="6" t="s">
        <v>47</v>
      </c>
      <c r="I72" s="6">
        <v>4</v>
      </c>
    </row>
    <row r="73" spans="7:9" x14ac:dyDescent="0.35">
      <c r="G73" s="6"/>
      <c r="H73" s="7" t="s">
        <v>56</v>
      </c>
      <c r="I73" s="7">
        <f>(I66+I67+I68+I69+I71+I70)*I72</f>
        <v>4173386.6674799998</v>
      </c>
    </row>
  </sheetData>
  <mergeCells count="6">
    <mergeCell ref="A15:C15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Célok</vt:lpstr>
      <vt:lpstr>Összesítés</vt:lpstr>
      <vt:lpstr>1. év</vt:lpstr>
      <vt:lpstr>2. év</vt:lpstr>
      <vt:lpstr>3. év</vt:lpstr>
      <vt:lpstr>4. év</vt:lpstr>
      <vt:lpstr>5. év</vt:lpstr>
      <vt:lpstr>6. év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Gyuri</dc:creator>
  <cp:lastModifiedBy>Gyuri</cp:lastModifiedBy>
  <dcterms:created xsi:type="dcterms:W3CDTF">2020-04-29T06:45:56Z</dcterms:created>
  <dcterms:modified xsi:type="dcterms:W3CDTF">2020-05-06T09:31:02Z</dcterms:modified>
</cp:coreProperties>
</file>